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codeName="ThisWorkbook" defaultThemeVersion="166925"/>
  <mc:AlternateContent xmlns:mc="http://schemas.openxmlformats.org/markup-compatibility/2006">
    <mc:Choice Requires="x15">
      <x15ac:absPath xmlns:x15ac="http://schemas.microsoft.com/office/spreadsheetml/2010/11/ac" url="/Users/nlarsson/Documents/PROJECTS/Ukraine as of 08Jan23/Ukraine project tool/"/>
    </mc:Choice>
  </mc:AlternateContent>
  <xr:revisionPtr revIDLastSave="0" documentId="13_ncr:1_{EBBAB919-6BB0-0544-97E9-C6766C6CF2E2}" xr6:coauthVersionLast="47" xr6:coauthVersionMax="47" xr10:uidLastSave="{00000000-0000-0000-0000-000000000000}"/>
  <bookViews>
    <workbookView xWindow="-30820" yWindow="2140" windowWidth="29660" windowHeight="20100" activeTab="5" xr2:uid="{00000000-000D-0000-FFFF-FFFF00000000}"/>
  </bookViews>
  <sheets>
    <sheet name="Graphic" sheetId="11" r:id="rId1"/>
    <sheet name="RDNA" sheetId="12" r:id="rId2"/>
    <sheet name="Settings" sheetId="4" r:id="rId3"/>
    <sheet name="Irpin info" sheetId="13" r:id="rId4"/>
    <sheet name="Urban" sheetId="10" r:id="rId5"/>
    <sheet name="Buildings" sheetId="8" r:id="rId6"/>
    <sheet name="Languages" sheetId="2" r:id="rId7"/>
  </sheets>
  <definedNames>
    <definedName name="_xlnm.Print_Area" localSheetId="5">Buildings!$B$2:$M$496</definedName>
    <definedName name="_xlnm.Print_Area" localSheetId="3">'Irpin info'!$B$1:$D$34</definedName>
    <definedName name="_xlnm.Print_Area" localSheetId="6">Languages!#REF!</definedName>
    <definedName name="_xlnm.Print_Area" localSheetId="1">RDNA!$B$1:$D$35</definedName>
    <definedName name="_xlnm.Print_Area" localSheetId="2">Settings!$B$2:$J$18</definedName>
    <definedName name="_xlnm.Print_Area" localSheetId="4">Urban!$B$1:$M$524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8" i="10" l="1"/>
  <c r="L62" i="10"/>
  <c r="K11" i="10"/>
  <c r="K12" i="10"/>
  <c r="L9" i="10" s="1"/>
  <c r="L19" i="10"/>
  <c r="L27" i="10"/>
  <c r="L26" i="10"/>
  <c r="L25" i="10"/>
  <c r="L24" i="10"/>
  <c r="L23" i="10"/>
  <c r="L22" i="10"/>
  <c r="L21" i="10"/>
  <c r="L20" i="10"/>
  <c r="L18" i="10"/>
  <c r="L17" i="10"/>
  <c r="L16" i="10"/>
  <c r="L15" i="10"/>
  <c r="L13" i="10"/>
  <c r="L12" i="10" s="1"/>
  <c r="L10" i="10" s="1"/>
  <c r="L14" i="10"/>
  <c r="J11" i="10"/>
  <c r="L56" i="10"/>
  <c r="L52" i="10" s="1"/>
  <c r="M69" i="10"/>
  <c r="M63" i="10"/>
  <c r="M57" i="10"/>
  <c r="L72" i="10"/>
  <c r="L71" i="10"/>
  <c r="L70" i="10"/>
  <c r="L66" i="10"/>
  <c r="L65" i="10"/>
  <c r="L64" i="10"/>
  <c r="L60" i="10"/>
  <c r="L59" i="10"/>
  <c r="L58" i="10"/>
  <c r="K55" i="10"/>
  <c r="L51" i="10" s="1"/>
  <c r="K61" i="10"/>
  <c r="G55" i="10"/>
  <c r="G61" i="10"/>
  <c r="K57" i="10"/>
  <c r="J57" i="10"/>
  <c r="K63" i="10"/>
  <c r="J63" i="10"/>
  <c r="K69" i="10"/>
  <c r="J69" i="10"/>
  <c r="K67" i="10"/>
  <c r="G67" i="10"/>
  <c r="B126" i="8"/>
  <c r="B80" i="8"/>
  <c r="B65" i="8"/>
  <c r="B35" i="8"/>
  <c r="B21" i="8"/>
  <c r="B13" i="8"/>
  <c r="B484" i="8"/>
  <c r="L489" i="8"/>
  <c r="L487" i="8"/>
  <c r="J486" i="8"/>
  <c r="G486" i="8"/>
  <c r="E485" i="8"/>
  <c r="M484" i="8"/>
  <c r="K484" i="8"/>
  <c r="G484" i="8"/>
  <c r="B478" i="8"/>
  <c r="L495" i="8"/>
  <c r="L493" i="8"/>
  <c r="J492" i="8"/>
  <c r="G492" i="8"/>
  <c r="E491" i="8"/>
  <c r="M490" i="8"/>
  <c r="K490" i="8"/>
  <c r="G490" i="8"/>
  <c r="B490" i="8"/>
  <c r="L507" i="8"/>
  <c r="L505" i="8"/>
  <c r="J504" i="8"/>
  <c r="G504" i="8"/>
  <c r="E503" i="8"/>
  <c r="M502" i="8"/>
  <c r="K502" i="8"/>
  <c r="G502" i="8"/>
  <c r="B502" i="8"/>
  <c r="L513" i="8"/>
  <c r="L511" i="8"/>
  <c r="J510" i="8"/>
  <c r="G510" i="8"/>
  <c r="E509" i="8"/>
  <c r="K508" i="8"/>
  <c r="G508" i="8"/>
  <c r="B508" i="8"/>
  <c r="K458" i="10"/>
  <c r="K467" i="10"/>
  <c r="I2" i="8"/>
  <c r="I2" i="10"/>
  <c r="I429" i="10" s="1"/>
  <c r="L211" i="10"/>
  <c r="L210" i="10"/>
  <c r="L209" i="10"/>
  <c r="L208" i="10"/>
  <c r="L523" i="10"/>
  <c r="L522" i="10"/>
  <c r="L521" i="10"/>
  <c r="L517" i="10"/>
  <c r="L516" i="10"/>
  <c r="L515" i="10"/>
  <c r="L511" i="10"/>
  <c r="L510" i="10"/>
  <c r="L509" i="10"/>
  <c r="L475" i="10"/>
  <c r="L474" i="10"/>
  <c r="L473" i="10"/>
  <c r="L472" i="10"/>
  <c r="L471" i="10"/>
  <c r="L470" i="10"/>
  <c r="L466" i="10"/>
  <c r="L465" i="10"/>
  <c r="L464" i="10"/>
  <c r="L463" i="10"/>
  <c r="L462" i="10"/>
  <c r="L461" i="10"/>
  <c r="K434" i="10"/>
  <c r="K443" i="10"/>
  <c r="L442" i="10"/>
  <c r="L441" i="10"/>
  <c r="L440" i="10"/>
  <c r="L439" i="10"/>
  <c r="L438" i="10"/>
  <c r="L437" i="10"/>
  <c r="K410" i="10"/>
  <c r="K419" i="10"/>
  <c r="L425" i="10"/>
  <c r="L427" i="10"/>
  <c r="L426" i="10"/>
  <c r="L416" i="10"/>
  <c r="L418" i="10"/>
  <c r="L417" i="10"/>
  <c r="L415" i="10"/>
  <c r="L414" i="10"/>
  <c r="L413" i="10"/>
  <c r="K386" i="10"/>
  <c r="K371" i="10"/>
  <c r="K347" i="10"/>
  <c r="K362" i="10"/>
  <c r="K323" i="10"/>
  <c r="K314" i="10"/>
  <c r="L331" i="10"/>
  <c r="L330" i="10"/>
  <c r="L329" i="10"/>
  <c r="L328" i="10"/>
  <c r="L327" i="10"/>
  <c r="L326" i="10"/>
  <c r="L322" i="10"/>
  <c r="L321" i="10"/>
  <c r="L320" i="10"/>
  <c r="L319" i="10"/>
  <c r="L318" i="10"/>
  <c r="L317" i="10"/>
  <c r="L307" i="10"/>
  <c r="L306" i="10"/>
  <c r="L305" i="10"/>
  <c r="L304" i="10"/>
  <c r="L303" i="10"/>
  <c r="L302" i="10"/>
  <c r="L298" i="10"/>
  <c r="L297" i="10"/>
  <c r="L296" i="10"/>
  <c r="L295" i="10"/>
  <c r="L294" i="10"/>
  <c r="L293" i="10"/>
  <c r="L178" i="10"/>
  <c r="L177" i="10"/>
  <c r="L176" i="10"/>
  <c r="L175" i="10"/>
  <c r="L174" i="10"/>
  <c r="L173" i="10"/>
  <c r="L163" i="10"/>
  <c r="L162" i="10"/>
  <c r="L161" i="10"/>
  <c r="L160" i="10"/>
  <c r="L159" i="10"/>
  <c r="L158" i="10"/>
  <c r="L154" i="10"/>
  <c r="L153" i="10"/>
  <c r="L152" i="10"/>
  <c r="L151" i="10"/>
  <c r="L150" i="10"/>
  <c r="L149" i="10"/>
  <c r="L116" i="10"/>
  <c r="L115" i="10"/>
  <c r="L114" i="10"/>
  <c r="L113" i="10"/>
  <c r="L112" i="10"/>
  <c r="L111" i="10"/>
  <c r="L110" i="10"/>
  <c r="L109" i="10"/>
  <c r="L108" i="10"/>
  <c r="L107" i="10"/>
  <c r="L106" i="10"/>
  <c r="L105" i="10"/>
  <c r="L104" i="10"/>
  <c r="L93" i="10"/>
  <c r="L92" i="10"/>
  <c r="L91" i="10"/>
  <c r="L90" i="10"/>
  <c r="L89" i="10"/>
  <c r="L88" i="10"/>
  <c r="L87" i="10"/>
  <c r="L86" i="10"/>
  <c r="L85" i="10"/>
  <c r="L84" i="10"/>
  <c r="L83" i="10"/>
  <c r="L34" i="10"/>
  <c r="L39" i="10"/>
  <c r="L44" i="10"/>
  <c r="K478" i="8"/>
  <c r="K464" i="8"/>
  <c r="K456" i="8"/>
  <c r="K442" i="8"/>
  <c r="K434" i="8"/>
  <c r="K374" i="8"/>
  <c r="K338" i="8"/>
  <c r="K330" i="8"/>
  <c r="K229" i="8"/>
  <c r="K65" i="8"/>
  <c r="K13" i="8"/>
  <c r="K21" i="8"/>
  <c r="K57" i="8"/>
  <c r="K149" i="8"/>
  <c r="K184" i="8"/>
  <c r="K173" i="8"/>
  <c r="K111" i="8"/>
  <c r="L119" i="8"/>
  <c r="L118" i="8"/>
  <c r="L116" i="8"/>
  <c r="L115" i="8"/>
  <c r="L114" i="8"/>
  <c r="L73" i="8"/>
  <c r="L72" i="8"/>
  <c r="L71" i="8"/>
  <c r="L70" i="8"/>
  <c r="L69" i="8"/>
  <c r="L68" i="8"/>
  <c r="L110" i="8"/>
  <c r="L109" i="8"/>
  <c r="L108" i="8"/>
  <c r="L107" i="8"/>
  <c r="L106" i="8"/>
  <c r="L117" i="8"/>
  <c r="L190" i="8"/>
  <c r="L189" i="8"/>
  <c r="L188" i="8"/>
  <c r="L187" i="8"/>
  <c r="L182" i="8"/>
  <c r="L181" i="8"/>
  <c r="L183" i="8"/>
  <c r="L180" i="8"/>
  <c r="L179" i="8"/>
  <c r="L178" i="8"/>
  <c r="L177" i="8"/>
  <c r="L176" i="8"/>
  <c r="L166" i="8"/>
  <c r="L165" i="8"/>
  <c r="L164" i="8"/>
  <c r="L163" i="8"/>
  <c r="L162" i="8"/>
  <c r="L161" i="8"/>
  <c r="L157" i="8"/>
  <c r="L156" i="8"/>
  <c r="L155" i="8"/>
  <c r="L154" i="8"/>
  <c r="L153" i="8"/>
  <c r="L152" i="8"/>
  <c r="L140" i="8"/>
  <c r="L138" i="8"/>
  <c r="L141" i="8"/>
  <c r="L139" i="8"/>
  <c r="L137" i="8"/>
  <c r="L136" i="8"/>
  <c r="L135" i="8"/>
  <c r="L134" i="8"/>
  <c r="L133" i="8"/>
  <c r="L132" i="8"/>
  <c r="L131" i="8"/>
  <c r="L130" i="8"/>
  <c r="L129" i="8"/>
  <c r="L96" i="8"/>
  <c r="L94" i="8"/>
  <c r="L93" i="8"/>
  <c r="L92" i="8"/>
  <c r="L91" i="8"/>
  <c r="L95" i="8"/>
  <c r="L86" i="8"/>
  <c r="L87" i="8"/>
  <c r="L85" i="8"/>
  <c r="L84" i="8"/>
  <c r="L83" i="8"/>
  <c r="L64" i="8"/>
  <c r="L63" i="8"/>
  <c r="L62" i="8"/>
  <c r="L61" i="8"/>
  <c r="L60" i="8"/>
  <c r="L50" i="8"/>
  <c r="L49" i="8"/>
  <c r="L48" i="8"/>
  <c r="L47" i="8"/>
  <c r="L46" i="8"/>
  <c r="L42" i="8"/>
  <c r="L41" i="8"/>
  <c r="L40" i="8"/>
  <c r="L39" i="8"/>
  <c r="L38" i="8"/>
  <c r="L28" i="8"/>
  <c r="L27" i="8"/>
  <c r="L26" i="8"/>
  <c r="L25" i="8"/>
  <c r="L24" i="8"/>
  <c r="L20" i="8"/>
  <c r="L19" i="8"/>
  <c r="L18" i="8"/>
  <c r="L17" i="8"/>
  <c r="L16" i="8"/>
  <c r="L513" i="10"/>
  <c r="E513" i="10"/>
  <c r="K512" i="10"/>
  <c r="G512" i="10"/>
  <c r="L497" i="10"/>
  <c r="L499" i="10"/>
  <c r="L498" i="10"/>
  <c r="G480" i="10"/>
  <c r="G432" i="10"/>
  <c r="G336" i="10"/>
  <c r="G288" i="10"/>
  <c r="G264" i="10"/>
  <c r="G168" i="10"/>
  <c r="G518" i="10"/>
  <c r="G506" i="10"/>
  <c r="G491" i="10"/>
  <c r="G482" i="10"/>
  <c r="G467" i="10"/>
  <c r="G458" i="10"/>
  <c r="G443" i="10"/>
  <c r="G434" i="10"/>
  <c r="G419" i="10"/>
  <c r="G410" i="10"/>
  <c r="G395" i="10"/>
  <c r="G386" i="10"/>
  <c r="G371" i="10"/>
  <c r="G362" i="10"/>
  <c r="G347" i="10"/>
  <c r="G338" i="10"/>
  <c r="G323" i="10"/>
  <c r="G314" i="10"/>
  <c r="G299" i="10"/>
  <c r="G290" i="10"/>
  <c r="G275" i="10"/>
  <c r="G266" i="10"/>
  <c r="G251" i="10"/>
  <c r="G242" i="10"/>
  <c r="G227" i="10"/>
  <c r="G218" i="10"/>
  <c r="G203" i="10"/>
  <c r="G194" i="10"/>
  <c r="G179" i="10"/>
  <c r="G170" i="10"/>
  <c r="G155" i="10"/>
  <c r="G146" i="10"/>
  <c r="G123" i="10"/>
  <c r="G100" i="10"/>
  <c r="G79" i="10"/>
  <c r="G53" i="10"/>
  <c r="G32" i="10"/>
  <c r="L490" i="10"/>
  <c r="L489" i="10"/>
  <c r="L488" i="10"/>
  <c r="L451" i="10"/>
  <c r="L450" i="10"/>
  <c r="L449" i="10"/>
  <c r="L403" i="10"/>
  <c r="L402" i="10"/>
  <c r="L401" i="10"/>
  <c r="L394" i="10"/>
  <c r="L393" i="10"/>
  <c r="L392" i="10"/>
  <c r="L346" i="10"/>
  <c r="L345" i="10"/>
  <c r="L344" i="10"/>
  <c r="L283" i="10"/>
  <c r="L282" i="10"/>
  <c r="L281" i="10"/>
  <c r="L274" i="10"/>
  <c r="L273" i="10"/>
  <c r="L272" i="10"/>
  <c r="L259" i="10"/>
  <c r="L258" i="10"/>
  <c r="L257" i="10"/>
  <c r="L250" i="10"/>
  <c r="L249" i="10"/>
  <c r="L248" i="10"/>
  <c r="L233" i="10"/>
  <c r="L224" i="10"/>
  <c r="L202" i="10"/>
  <c r="L201" i="10"/>
  <c r="L200" i="10"/>
  <c r="L235" i="10"/>
  <c r="L234" i="10"/>
  <c r="L226" i="10"/>
  <c r="L225" i="10"/>
  <c r="L355" i="10"/>
  <c r="L354" i="10"/>
  <c r="L353" i="10"/>
  <c r="L379" i="10"/>
  <c r="L378" i="10"/>
  <c r="L377" i="10"/>
  <c r="L370" i="10"/>
  <c r="L369" i="10"/>
  <c r="L368" i="10"/>
  <c r="L519" i="10"/>
  <c r="K518" i="10"/>
  <c r="L507" i="10"/>
  <c r="K506" i="10"/>
  <c r="L496" i="10"/>
  <c r="L495" i="10"/>
  <c r="L494" i="10"/>
  <c r="L492" i="10"/>
  <c r="K491" i="10"/>
  <c r="L487" i="10"/>
  <c r="L486" i="10"/>
  <c r="L485" i="10"/>
  <c r="L483" i="10"/>
  <c r="K482" i="10"/>
  <c r="L468" i="10"/>
  <c r="L459" i="10"/>
  <c r="L448" i="10"/>
  <c r="L447" i="10"/>
  <c r="L446" i="10"/>
  <c r="L444" i="10"/>
  <c r="L435" i="10"/>
  <c r="L424" i="10"/>
  <c r="L423" i="10"/>
  <c r="L422" i="10"/>
  <c r="L420" i="10"/>
  <c r="L411" i="10"/>
  <c r="L400" i="10"/>
  <c r="L399" i="10"/>
  <c r="L398" i="10"/>
  <c r="L396" i="10"/>
  <c r="K395" i="10"/>
  <c r="L391" i="10"/>
  <c r="L390" i="10"/>
  <c r="L389" i="10"/>
  <c r="L387" i="10"/>
  <c r="L376" i="10"/>
  <c r="L375" i="10"/>
  <c r="L374" i="10"/>
  <c r="L372" i="10"/>
  <c r="L367" i="10"/>
  <c r="L366" i="10"/>
  <c r="L365" i="10"/>
  <c r="L363" i="10"/>
  <c r="L352" i="10"/>
  <c r="L351" i="10"/>
  <c r="L350" i="10"/>
  <c r="L348" i="10"/>
  <c r="L343" i="10"/>
  <c r="L342" i="10"/>
  <c r="L341" i="10"/>
  <c r="L339" i="10"/>
  <c r="K338" i="10"/>
  <c r="L324" i="10"/>
  <c r="L315" i="10"/>
  <c r="K299" i="10"/>
  <c r="K290" i="10"/>
  <c r="K275" i="10"/>
  <c r="L300" i="10"/>
  <c r="L291" i="10"/>
  <c r="L280" i="10"/>
  <c r="L279" i="10"/>
  <c r="L278" i="10"/>
  <c r="L276" i="10"/>
  <c r="L267" i="10"/>
  <c r="L271" i="10"/>
  <c r="L270" i="10"/>
  <c r="L269" i="10"/>
  <c r="L256" i="10"/>
  <c r="L255" i="10"/>
  <c r="L254" i="10"/>
  <c r="L247" i="10"/>
  <c r="L246" i="10"/>
  <c r="L245" i="10"/>
  <c r="L252" i="10"/>
  <c r="L243" i="10"/>
  <c r="K266" i="10"/>
  <c r="K251" i="10"/>
  <c r="K242" i="10"/>
  <c r="L228" i="10"/>
  <c r="L232" i="10"/>
  <c r="L231" i="10"/>
  <c r="L230" i="10"/>
  <c r="L223" i="10"/>
  <c r="L222" i="10"/>
  <c r="L221" i="10"/>
  <c r="L207" i="10"/>
  <c r="L206" i="10"/>
  <c r="K227" i="10"/>
  <c r="K218" i="10"/>
  <c r="K203" i="10"/>
  <c r="L219" i="10"/>
  <c r="L204" i="10"/>
  <c r="L180" i="10"/>
  <c r="L195" i="10"/>
  <c r="L199" i="10"/>
  <c r="L198" i="10"/>
  <c r="L197" i="10"/>
  <c r="L187" i="10"/>
  <c r="L186" i="10"/>
  <c r="L185" i="10"/>
  <c r="L184" i="10"/>
  <c r="L183" i="10"/>
  <c r="L182" i="10"/>
  <c r="L171" i="10"/>
  <c r="L156" i="10"/>
  <c r="L147" i="10"/>
  <c r="K194" i="10"/>
  <c r="K179" i="10"/>
  <c r="K170" i="10"/>
  <c r="K155" i="10"/>
  <c r="K146" i="10"/>
  <c r="L139" i="10"/>
  <c r="L138" i="10"/>
  <c r="L137" i="10"/>
  <c r="L136" i="10"/>
  <c r="L135" i="10"/>
  <c r="L134" i="10"/>
  <c r="L133" i="10"/>
  <c r="L132" i="10"/>
  <c r="L131" i="10"/>
  <c r="L130" i="10"/>
  <c r="L129" i="10"/>
  <c r="L128" i="10"/>
  <c r="L127" i="10"/>
  <c r="K123" i="10"/>
  <c r="K100" i="10"/>
  <c r="K79" i="10"/>
  <c r="L29" i="10"/>
  <c r="C283" i="2"/>
  <c r="B158" i="8" s="1"/>
  <c r="S196" i="2"/>
  <c r="S195" i="2"/>
  <c r="S194" i="2"/>
  <c r="S193" i="2"/>
  <c r="S192" i="2"/>
  <c r="S191" i="2"/>
  <c r="S190" i="2"/>
  <c r="S189" i="2"/>
  <c r="S188" i="2"/>
  <c r="S187" i="2"/>
  <c r="S186" i="2"/>
  <c r="S185" i="2"/>
  <c r="S184" i="2"/>
  <c r="S183" i="2"/>
  <c r="S182" i="2"/>
  <c r="S181" i="2"/>
  <c r="S179" i="2"/>
  <c r="L502" i="8" l="1"/>
  <c r="I261" i="10"/>
  <c r="I477" i="10"/>
  <c r="I29" i="10"/>
  <c r="I285" i="10"/>
  <c r="I333" i="10"/>
  <c r="I165" i="10"/>
  <c r="L263" i="10"/>
  <c r="L214" i="10"/>
  <c r="L455" i="10"/>
  <c r="L287" i="10"/>
  <c r="L286" i="10"/>
  <c r="L479" i="10"/>
  <c r="L407" i="10"/>
  <c r="L311" i="10"/>
  <c r="L383" i="10"/>
  <c r="L143" i="10"/>
  <c r="L358" i="10"/>
  <c r="L382" i="10"/>
  <c r="L142" i="10"/>
  <c r="L167" i="10"/>
  <c r="L431" i="10"/>
  <c r="L478" i="10"/>
  <c r="L191" i="10"/>
  <c r="L262" i="10"/>
  <c r="L334" i="10"/>
  <c r="L502" i="10"/>
  <c r="L503" i="10"/>
  <c r="L190" i="10"/>
  <c r="L215" i="10"/>
  <c r="L335" i="10"/>
  <c r="L359" i="10"/>
  <c r="L310" i="10"/>
  <c r="L406" i="10"/>
  <c r="L508" i="8"/>
  <c r="L484" i="8"/>
  <c r="L490" i="8"/>
  <c r="L173" i="8"/>
  <c r="L184" i="8"/>
  <c r="L454" i="10"/>
  <c r="L238" i="10"/>
  <c r="L239" i="10"/>
  <c r="L166" i="10"/>
  <c r="L30" i="10"/>
  <c r="L75" i="10"/>
  <c r="L120" i="10"/>
  <c r="L96" i="10"/>
  <c r="L97" i="10"/>
  <c r="L76" i="10"/>
  <c r="L119" i="10"/>
  <c r="L31" i="10"/>
  <c r="K401" i="8"/>
  <c r="K393" i="8"/>
  <c r="L404" i="8"/>
  <c r="L406" i="8"/>
  <c r="L405" i="8"/>
  <c r="L397" i="8"/>
  <c r="L399" i="8"/>
  <c r="L398" i="8"/>
  <c r="L396" i="8"/>
  <c r="L386" i="8"/>
  <c r="L385" i="8"/>
  <c r="L382" i="8"/>
  <c r="L381" i="8"/>
  <c r="L380" i="8"/>
  <c r="L379" i="8"/>
  <c r="L378" i="8"/>
  <c r="L377" i="8"/>
  <c r="B407" i="8"/>
  <c r="G403" i="8"/>
  <c r="E402" i="8"/>
  <c r="G401" i="8"/>
  <c r="G395" i="8"/>
  <c r="E394" i="8"/>
  <c r="G393" i="8"/>
  <c r="L388" i="8"/>
  <c r="I388" i="8"/>
  <c r="B388" i="8"/>
  <c r="L468" i="8"/>
  <c r="L460" i="8"/>
  <c r="L446" i="8"/>
  <c r="L438" i="8"/>
  <c r="K353" i="8"/>
  <c r="L341" i="8"/>
  <c r="L344" i="8"/>
  <c r="L343" i="8"/>
  <c r="L342" i="8"/>
  <c r="L366" i="8"/>
  <c r="L365" i="8"/>
  <c r="L364" i="8"/>
  <c r="L363" i="8"/>
  <c r="B368" i="8"/>
  <c r="G355" i="8"/>
  <c r="E354" i="8"/>
  <c r="G353" i="8"/>
  <c r="L348" i="8"/>
  <c r="I348" i="8"/>
  <c r="B348" i="8"/>
  <c r="L518" i="8"/>
  <c r="L517" i="8"/>
  <c r="L483" i="8"/>
  <c r="L481" i="8"/>
  <c r="L471" i="8"/>
  <c r="L470" i="8"/>
  <c r="L469" i="8"/>
  <c r="L467" i="8"/>
  <c r="L463" i="8"/>
  <c r="L462" i="8"/>
  <c r="L461" i="8"/>
  <c r="L459" i="8"/>
  <c r="L449" i="8"/>
  <c r="L448" i="8"/>
  <c r="L447" i="8"/>
  <c r="L445" i="8"/>
  <c r="L441" i="8"/>
  <c r="L440" i="8"/>
  <c r="L439" i="8"/>
  <c r="L437" i="8"/>
  <c r="L427" i="8"/>
  <c r="L426" i="8"/>
  <c r="L425" i="8"/>
  <c r="L424" i="8"/>
  <c r="L423" i="8"/>
  <c r="L419" i="8"/>
  <c r="L418" i="8"/>
  <c r="L417" i="8"/>
  <c r="L416" i="8"/>
  <c r="L334" i="8"/>
  <c r="L333" i="8"/>
  <c r="L323" i="8"/>
  <c r="L322" i="8"/>
  <c r="L321" i="8"/>
  <c r="L317" i="8"/>
  <c r="L316" i="8"/>
  <c r="L315" i="8"/>
  <c r="L311" i="8"/>
  <c r="L310" i="8"/>
  <c r="L309" i="8"/>
  <c r="L299" i="8"/>
  <c r="L298" i="8"/>
  <c r="L294" i="8"/>
  <c r="L293" i="8"/>
  <c r="L289" i="8"/>
  <c r="L288" i="8"/>
  <c r="L278" i="8"/>
  <c r="L277" i="8"/>
  <c r="L273" i="8"/>
  <c r="L272" i="8"/>
  <c r="L268" i="8"/>
  <c r="L267" i="8"/>
  <c r="L257" i="8"/>
  <c r="L256" i="8"/>
  <c r="L252" i="8"/>
  <c r="L251" i="8"/>
  <c r="L247" i="8"/>
  <c r="L246" i="8"/>
  <c r="L236" i="8"/>
  <c r="L235" i="8"/>
  <c r="L234" i="8"/>
  <c r="L233" i="8"/>
  <c r="L232" i="8"/>
  <c r="L228" i="8"/>
  <c r="L227" i="8"/>
  <c r="L226" i="8"/>
  <c r="L225" i="8"/>
  <c r="L224" i="8"/>
  <c r="L223" i="8"/>
  <c r="L210" i="8"/>
  <c r="L209" i="8"/>
  <c r="L208" i="8"/>
  <c r="L207" i="8"/>
  <c r="L206" i="8"/>
  <c r="L205" i="8"/>
  <c r="L204" i="8"/>
  <c r="L203" i="8"/>
  <c r="L202" i="8"/>
  <c r="L201" i="8"/>
  <c r="L200" i="8"/>
  <c r="K514" i="8"/>
  <c r="L498" i="8" s="1"/>
  <c r="K420" i="8"/>
  <c r="K413" i="8"/>
  <c r="K318" i="8"/>
  <c r="K312" i="8"/>
  <c r="K306" i="8"/>
  <c r="K295" i="8"/>
  <c r="K290" i="8"/>
  <c r="K285" i="8"/>
  <c r="K274" i="8"/>
  <c r="K269" i="8"/>
  <c r="K264" i="8"/>
  <c r="K253" i="8"/>
  <c r="K248" i="8"/>
  <c r="K243" i="8"/>
  <c r="K220" i="8"/>
  <c r="K103" i="8"/>
  <c r="K126" i="8"/>
  <c r="K158" i="8"/>
  <c r="B191" i="8"/>
  <c r="G175" i="8"/>
  <c r="E174" i="8"/>
  <c r="G173" i="8"/>
  <c r="L168" i="8"/>
  <c r="I168" i="8"/>
  <c r="B168" i="8"/>
  <c r="E127" i="8"/>
  <c r="K88" i="8"/>
  <c r="K80" i="8"/>
  <c r="B120" i="8"/>
  <c r="G113" i="8"/>
  <c r="E112" i="8"/>
  <c r="G111" i="8"/>
  <c r="G105" i="8"/>
  <c r="E104" i="8"/>
  <c r="G103" i="8"/>
  <c r="L98" i="8"/>
  <c r="I98" i="8"/>
  <c r="B98" i="8"/>
  <c r="K35" i="8"/>
  <c r="K43" i="8"/>
  <c r="G45" i="8"/>
  <c r="E44" i="8"/>
  <c r="G43" i="8"/>
  <c r="E36" i="8"/>
  <c r="M35" i="8"/>
  <c r="L30" i="8"/>
  <c r="I30" i="8"/>
  <c r="B30" i="8"/>
  <c r="K197" i="8"/>
  <c r="G436" i="8"/>
  <c r="E435" i="8"/>
  <c r="G434" i="8"/>
  <c r="B472" i="8"/>
  <c r="G466" i="8"/>
  <c r="E465" i="8"/>
  <c r="G464" i="8"/>
  <c r="G458" i="8"/>
  <c r="E457" i="8"/>
  <c r="G456" i="8"/>
  <c r="L451" i="8"/>
  <c r="I451" i="8"/>
  <c r="B451" i="8"/>
  <c r="G516" i="8"/>
  <c r="G480" i="8"/>
  <c r="G444" i="8"/>
  <c r="G422" i="8"/>
  <c r="G415" i="8"/>
  <c r="G376" i="8"/>
  <c r="G340" i="8"/>
  <c r="G332" i="8"/>
  <c r="G320" i="8"/>
  <c r="G314" i="8"/>
  <c r="G308" i="8"/>
  <c r="G297" i="8"/>
  <c r="G292" i="8"/>
  <c r="G287" i="8"/>
  <c r="G276" i="8"/>
  <c r="G271" i="8"/>
  <c r="G266" i="8"/>
  <c r="G255" i="8"/>
  <c r="G250" i="8"/>
  <c r="G245" i="8"/>
  <c r="G231" i="8"/>
  <c r="G186" i="8"/>
  <c r="G222" i="8"/>
  <c r="G199" i="8"/>
  <c r="G160" i="8"/>
  <c r="G151" i="8"/>
  <c r="M13" i="8"/>
  <c r="G514" i="8"/>
  <c r="G478" i="8"/>
  <c r="G442" i="8"/>
  <c r="G420" i="8"/>
  <c r="G413" i="8"/>
  <c r="G374" i="8"/>
  <c r="G184" i="8"/>
  <c r="G220" i="8"/>
  <c r="G67" i="8"/>
  <c r="G59" i="8"/>
  <c r="G504" i="10"/>
  <c r="G456" i="10"/>
  <c r="G408" i="10"/>
  <c r="G384" i="10"/>
  <c r="G360" i="10"/>
  <c r="G312" i="10"/>
  <c r="G240" i="10"/>
  <c r="G216" i="10"/>
  <c r="G192" i="10"/>
  <c r="G144" i="10"/>
  <c r="G121" i="10"/>
  <c r="G98" i="10"/>
  <c r="G338" i="8"/>
  <c r="G330" i="8"/>
  <c r="G318" i="8"/>
  <c r="G312" i="8"/>
  <c r="G306" i="8"/>
  <c r="G295" i="8"/>
  <c r="G290" i="8"/>
  <c r="G285" i="8"/>
  <c r="G274" i="8"/>
  <c r="G269" i="8"/>
  <c r="G264" i="8"/>
  <c r="G253" i="8"/>
  <c r="G248" i="8"/>
  <c r="G243" i="8"/>
  <c r="G229" i="8"/>
  <c r="G197" i="8"/>
  <c r="G158" i="8"/>
  <c r="G149" i="8"/>
  <c r="G128" i="8"/>
  <c r="G126" i="8"/>
  <c r="G90" i="8"/>
  <c r="G88" i="8"/>
  <c r="G82" i="8"/>
  <c r="G80" i="8"/>
  <c r="G65" i="8"/>
  <c r="G57" i="8"/>
  <c r="D57" i="8" s="1"/>
  <c r="G23" i="8"/>
  <c r="G21" i="8"/>
  <c r="E22" i="8"/>
  <c r="E14" i="8"/>
  <c r="P180" i="2"/>
  <c r="P179" i="2"/>
  <c r="P175" i="2"/>
  <c r="M393" i="8" l="1"/>
  <c r="M508" i="8"/>
  <c r="L464" i="8"/>
  <c r="L393" i="8"/>
  <c r="L197" i="8"/>
  <c r="L434" i="8"/>
  <c r="L4" i="10"/>
  <c r="L374" i="8"/>
  <c r="L401" i="8"/>
  <c r="M401" i="8"/>
  <c r="L338" i="8"/>
  <c r="L335" i="8"/>
  <c r="L330" i="8" s="1"/>
  <c r="L358" i="8"/>
  <c r="L360" i="8"/>
  <c r="L356" i="8"/>
  <c r="L357" i="8"/>
  <c r="L359" i="8"/>
  <c r="L456" i="8"/>
  <c r="M353" i="8"/>
  <c r="L194" i="8"/>
  <c r="M173" i="8"/>
  <c r="M103" i="8"/>
  <c r="M111" i="8"/>
  <c r="M43" i="8"/>
  <c r="M248" i="8"/>
  <c r="M434" i="8"/>
  <c r="M243" i="8"/>
  <c r="M269" i="8"/>
  <c r="M330" i="8"/>
  <c r="M478" i="8"/>
  <c r="M514" i="8"/>
  <c r="M253" i="8"/>
  <c r="M274" i="8"/>
  <c r="M306" i="8"/>
  <c r="M338" i="8"/>
  <c r="M442" i="8"/>
  <c r="M285" i="8"/>
  <c r="M312" i="8"/>
  <c r="M413" i="8"/>
  <c r="M456" i="8"/>
  <c r="M184" i="8"/>
  <c r="M290" i="8"/>
  <c r="M229" i="8"/>
  <c r="M264" i="8"/>
  <c r="M318" i="8"/>
  <c r="M374" i="8"/>
  <c r="M420" i="8"/>
  <c r="M464" i="8"/>
  <c r="M295" i="8"/>
  <c r="M21" i="8"/>
  <c r="M149" i="8"/>
  <c r="M220" i="8"/>
  <c r="M126" i="8"/>
  <c r="M88" i="8"/>
  <c r="M80" i="8"/>
  <c r="M57" i="8"/>
  <c r="M197" i="8"/>
  <c r="M158" i="8"/>
  <c r="M65" i="8"/>
  <c r="I497" i="8"/>
  <c r="B497" i="8"/>
  <c r="I473" i="8"/>
  <c r="B473" i="8"/>
  <c r="I429" i="8"/>
  <c r="B429" i="8"/>
  <c r="I408" i="8"/>
  <c r="B408" i="8"/>
  <c r="I369" i="8"/>
  <c r="B369" i="8"/>
  <c r="I325" i="8"/>
  <c r="B325" i="8"/>
  <c r="I301" i="8"/>
  <c r="B301" i="8"/>
  <c r="I280" i="8"/>
  <c r="B280" i="8"/>
  <c r="I259" i="8"/>
  <c r="B259" i="8"/>
  <c r="I238" i="8"/>
  <c r="B238" i="8"/>
  <c r="I215" i="8"/>
  <c r="B215" i="8"/>
  <c r="I192" i="8"/>
  <c r="B192" i="8"/>
  <c r="I144" i="8"/>
  <c r="B144" i="8"/>
  <c r="I121" i="8"/>
  <c r="B121" i="8"/>
  <c r="I75" i="8"/>
  <c r="B75" i="8"/>
  <c r="I52" i="8"/>
  <c r="B52" i="8"/>
  <c r="I8" i="8"/>
  <c r="B8" i="8"/>
  <c r="B2" i="8"/>
  <c r="I501" i="10"/>
  <c r="I453" i="10"/>
  <c r="I405" i="10"/>
  <c r="I381" i="10"/>
  <c r="I357" i="10"/>
  <c r="I309" i="10"/>
  <c r="I237" i="10"/>
  <c r="I213" i="10"/>
  <c r="I189" i="10"/>
  <c r="I141" i="10"/>
  <c r="I118" i="10"/>
  <c r="I74" i="10"/>
  <c r="I50" i="10"/>
  <c r="I8" i="10"/>
  <c r="I95" i="10" s="1"/>
  <c r="B2" i="10"/>
  <c r="L390" i="8" l="1"/>
  <c r="L389" i="8"/>
  <c r="B429" i="10"/>
  <c r="B477" i="10"/>
  <c r="B285" i="10"/>
  <c r="B333" i="10"/>
  <c r="B165" i="10"/>
  <c r="B261" i="10"/>
  <c r="B501" i="10"/>
  <c r="B29" i="10"/>
  <c r="L353" i="8"/>
  <c r="L327" i="8"/>
  <c r="L326" i="8"/>
  <c r="L169" i="8"/>
  <c r="L126" i="8"/>
  <c r="L122" i="8" s="1"/>
  <c r="L123" i="8"/>
  <c r="L111" i="8"/>
  <c r="L103" i="8"/>
  <c r="L35" i="8"/>
  <c r="L31" i="8" s="1"/>
  <c r="L43" i="8"/>
  <c r="L13" i="8"/>
  <c r="L452" i="8"/>
  <c r="L21" i="8"/>
  <c r="B357" i="10"/>
  <c r="B118" i="10"/>
  <c r="B189" i="10"/>
  <c r="B213" i="10"/>
  <c r="B381" i="10"/>
  <c r="B74" i="10"/>
  <c r="B141" i="10"/>
  <c r="B237" i="10"/>
  <c r="B405" i="10"/>
  <c r="B50" i="10"/>
  <c r="B309" i="10"/>
  <c r="B453" i="10"/>
  <c r="L349" i="8" l="1"/>
  <c r="L350" i="8"/>
  <c r="L100" i="8"/>
  <c r="L99" i="8"/>
  <c r="L32" i="8"/>
  <c r="L453" i="8"/>
  <c r="L10" i="8"/>
  <c r="L9" i="8"/>
  <c r="E68" i="10"/>
  <c r="E62" i="10"/>
  <c r="E56" i="10"/>
  <c r="E45" i="10"/>
  <c r="K171" i="2"/>
  <c r="Q180" i="2"/>
  <c r="Q181" i="2"/>
  <c r="B237" i="8"/>
  <c r="E230" i="8"/>
  <c r="E185" i="8"/>
  <c r="E221" i="8"/>
  <c r="L215" i="8"/>
  <c r="L118" i="10"/>
  <c r="E101" i="10"/>
  <c r="L95" i="10"/>
  <c r="Q196" i="2" l="1"/>
  <c r="Q184" i="2"/>
  <c r="Q183" i="2"/>
  <c r="Q182" i="2"/>
  <c r="Q186" i="2"/>
  <c r="Q188" i="2"/>
  <c r="Q185" i="2"/>
  <c r="Q189" i="2"/>
  <c r="Q190" i="2"/>
  <c r="Q191" i="2"/>
  <c r="Q192" i="2"/>
  <c r="Q193" i="2"/>
  <c r="Q194" i="2"/>
  <c r="Q195" i="2"/>
  <c r="E339" i="10"/>
  <c r="D339" i="10"/>
  <c r="E324" i="10"/>
  <c r="E315" i="10"/>
  <c r="D315" i="10"/>
  <c r="K177" i="2"/>
  <c r="L429" i="8"/>
  <c r="B428" i="8"/>
  <c r="L301" i="8"/>
  <c r="B300" i="8"/>
  <c r="B519" i="8"/>
  <c r="E515" i="8"/>
  <c r="L497" i="8"/>
  <c r="N176" i="2"/>
  <c r="J30" i="10" l="1"/>
  <c r="J286" i="10"/>
  <c r="J166" i="10"/>
  <c r="J478" i="10"/>
  <c r="J262" i="10"/>
  <c r="J430" i="10"/>
  <c r="J334" i="10"/>
  <c r="D262" i="10"/>
  <c r="D430" i="10"/>
  <c r="D286" i="10"/>
  <c r="D166" i="10"/>
  <c r="D334" i="10"/>
  <c r="D30" i="10"/>
  <c r="D478" i="10"/>
  <c r="D349" i="8"/>
  <c r="D169" i="8"/>
  <c r="D389" i="8"/>
  <c r="D99" i="8"/>
  <c r="J169" i="8"/>
  <c r="J99" i="8"/>
  <c r="J349" i="8"/>
  <c r="J389" i="8"/>
  <c r="D452" i="8"/>
  <c r="D31" i="8"/>
  <c r="J31" i="8"/>
  <c r="J452" i="8"/>
  <c r="J430" i="8"/>
  <c r="J326" i="8"/>
  <c r="J498" i="8"/>
  <c r="J260" i="8"/>
  <c r="J216" i="8"/>
  <c r="J145" i="8"/>
  <c r="J76" i="8"/>
  <c r="J9" i="8"/>
  <c r="J302" i="8"/>
  <c r="J119" i="10"/>
  <c r="J474" i="8"/>
  <c r="J370" i="8"/>
  <c r="J239" i="8"/>
  <c r="J193" i="8"/>
  <c r="J122" i="8"/>
  <c r="J53" i="8"/>
  <c r="J281" i="8"/>
  <c r="J409" i="8"/>
  <c r="J75" i="10"/>
  <c r="J51" i="10"/>
  <c r="L170" i="8"/>
  <c r="L514" i="8"/>
  <c r="L499" i="8" s="1"/>
  <c r="L220" i="8"/>
  <c r="L216" i="8" s="1"/>
  <c r="J9" i="10"/>
  <c r="J96" i="10"/>
  <c r="D498" i="8"/>
  <c r="D216" i="8"/>
  <c r="D96" i="10"/>
  <c r="D119" i="10"/>
  <c r="J358" i="10"/>
  <c r="J142" i="10"/>
  <c r="J454" i="10"/>
  <c r="J502" i="10"/>
  <c r="J3" i="10"/>
  <c r="J382" i="10"/>
  <c r="J3" i="8"/>
  <c r="J406" i="10"/>
  <c r="J190" i="10"/>
  <c r="J214" i="10"/>
  <c r="J310" i="10"/>
  <c r="J238" i="10"/>
  <c r="C7" i="4"/>
  <c r="D9" i="8"/>
  <c r="D302" i="8"/>
  <c r="D430" i="8"/>
  <c r="N177" i="2"/>
  <c r="P171" i="2"/>
  <c r="C6" i="10" s="1"/>
  <c r="L171" i="2"/>
  <c r="P181" i="2"/>
  <c r="P178" i="2"/>
  <c r="B3" i="8" s="1"/>
  <c r="P176" i="2"/>
  <c r="P174" i="2"/>
  <c r="P173" i="2"/>
  <c r="B3" i="10" s="1"/>
  <c r="K179" i="2"/>
  <c r="M194" i="2"/>
  <c r="N192" i="2"/>
  <c r="D14" i="4" s="1"/>
  <c r="E183" i="2"/>
  <c r="B13" i="4" s="1"/>
  <c r="E195" i="10"/>
  <c r="D195" i="10"/>
  <c r="E180" i="10"/>
  <c r="D180" i="10"/>
  <c r="E228" i="10"/>
  <c r="E184" i="2"/>
  <c r="G430" i="10" l="1"/>
  <c r="G30" i="10"/>
  <c r="G166" i="10"/>
  <c r="G286" i="10"/>
  <c r="G262" i="10"/>
  <c r="G478" i="10"/>
  <c r="G334" i="10"/>
  <c r="G349" i="8"/>
  <c r="G169" i="8"/>
  <c r="G99" i="8"/>
  <c r="G389" i="8"/>
  <c r="G452" i="8"/>
  <c r="G31" i="8"/>
  <c r="G281" i="8"/>
  <c r="G430" i="8"/>
  <c r="G326" i="8"/>
  <c r="G498" i="8"/>
  <c r="G260" i="8"/>
  <c r="G145" i="8"/>
  <c r="G9" i="8"/>
  <c r="G409" i="8"/>
  <c r="G302" i="8"/>
  <c r="G119" i="10"/>
  <c r="G474" i="8"/>
  <c r="G370" i="8"/>
  <c r="G239" i="8"/>
  <c r="G193" i="8"/>
  <c r="G122" i="8"/>
  <c r="G53" i="8"/>
  <c r="G216" i="8"/>
  <c r="G76" i="8"/>
  <c r="G9" i="10"/>
  <c r="G51" i="10"/>
  <c r="G96" i="10"/>
  <c r="B3" i="4"/>
  <c r="G238" i="10"/>
  <c r="G310" i="10"/>
  <c r="G358" i="10"/>
  <c r="G382" i="10"/>
  <c r="G454" i="10"/>
  <c r="G75" i="10"/>
  <c r="G142" i="10"/>
  <c r="G406" i="10"/>
  <c r="G190" i="10"/>
  <c r="G502" i="10"/>
  <c r="G214" i="10"/>
  <c r="L178" i="2" l="1"/>
  <c r="I184" i="2" l="1"/>
  <c r="I183" i="2"/>
  <c r="I182" i="2"/>
  <c r="I181" i="2"/>
  <c r="I180" i="2"/>
  <c r="I179" i="2"/>
  <c r="I178" i="2"/>
  <c r="I177" i="2"/>
  <c r="N178" i="2"/>
  <c r="M178" i="2"/>
  <c r="M177" i="2"/>
  <c r="L122" i="10" s="1"/>
  <c r="M176" i="2"/>
  <c r="K178" i="2"/>
  <c r="K176" i="2"/>
  <c r="L177" i="2"/>
  <c r="L175" i="2"/>
  <c r="L176" i="2"/>
  <c r="L50" i="10"/>
  <c r="E40" i="10"/>
  <c r="E35" i="10"/>
  <c r="E24" i="10"/>
  <c r="E19" i="10"/>
  <c r="E14" i="10"/>
  <c r="M8" i="10"/>
  <c r="L8" i="10"/>
  <c r="J287" i="10" l="1"/>
  <c r="J263" i="10"/>
  <c r="J431" i="10"/>
  <c r="J479" i="10"/>
  <c r="J335" i="10"/>
  <c r="J167" i="10"/>
  <c r="J31" i="10"/>
  <c r="M78" i="10"/>
  <c r="M103" i="10"/>
  <c r="M126" i="10"/>
  <c r="M122" i="10"/>
  <c r="M99" i="10"/>
  <c r="M82" i="10"/>
  <c r="J480" i="10"/>
  <c r="J32" i="10"/>
  <c r="J264" i="10"/>
  <c r="J432" i="10"/>
  <c r="J336" i="10"/>
  <c r="J288" i="10"/>
  <c r="J168" i="10"/>
  <c r="F480" i="10"/>
  <c r="F168" i="10"/>
  <c r="F432" i="10"/>
  <c r="F32" i="10"/>
  <c r="F336" i="10"/>
  <c r="F288" i="10"/>
  <c r="F264" i="10"/>
  <c r="J171" i="8"/>
  <c r="J101" i="8"/>
  <c r="J391" i="8"/>
  <c r="J351" i="8"/>
  <c r="J170" i="8"/>
  <c r="J100" i="8"/>
  <c r="J390" i="8"/>
  <c r="J350" i="8"/>
  <c r="M102" i="8"/>
  <c r="M392" i="8"/>
  <c r="M172" i="8"/>
  <c r="M352" i="8"/>
  <c r="L351" i="8"/>
  <c r="L101" i="8"/>
  <c r="L171" i="8"/>
  <c r="L391" i="8"/>
  <c r="L172" i="8"/>
  <c r="L102" i="8"/>
  <c r="L392" i="8"/>
  <c r="L352" i="8"/>
  <c r="F101" i="8"/>
  <c r="F391" i="8"/>
  <c r="F171" i="8"/>
  <c r="F351" i="8"/>
  <c r="J32" i="8"/>
  <c r="J499" i="8"/>
  <c r="J475" i="8"/>
  <c r="J431" i="8"/>
  <c r="J410" i="8"/>
  <c r="J371" i="8"/>
  <c r="J327" i="8"/>
  <c r="J303" i="8"/>
  <c r="J282" i="8"/>
  <c r="J240" i="8"/>
  <c r="J217" i="8"/>
  <c r="J194" i="8"/>
  <c r="J123" i="8"/>
  <c r="J77" i="8"/>
  <c r="J10" i="8"/>
  <c r="J261" i="8"/>
  <c r="J146" i="8"/>
  <c r="J54" i="8"/>
  <c r="J120" i="10"/>
  <c r="J453" i="8"/>
  <c r="J76" i="10"/>
  <c r="J52" i="10"/>
  <c r="L218" i="8"/>
  <c r="L454" i="8"/>
  <c r="L33" i="8"/>
  <c r="L219" i="8"/>
  <c r="L34" i="8"/>
  <c r="L455" i="8"/>
  <c r="M219" i="8"/>
  <c r="M455" i="8"/>
  <c r="M56" i="8"/>
  <c r="M12" i="8"/>
  <c r="M34" i="8"/>
  <c r="J500" i="8"/>
  <c r="J476" i="8"/>
  <c r="J432" i="8"/>
  <c r="J411" i="8"/>
  <c r="J372" i="8"/>
  <c r="J328" i="8"/>
  <c r="J304" i="8"/>
  <c r="J283" i="8"/>
  <c r="J262" i="8"/>
  <c r="J241" i="8"/>
  <c r="J218" i="8"/>
  <c r="J195" i="8"/>
  <c r="J147" i="8"/>
  <c r="J124" i="8"/>
  <c r="J78" i="8"/>
  <c r="J55" i="8"/>
  <c r="J121" i="10"/>
  <c r="J312" i="10"/>
  <c r="J456" i="10"/>
  <c r="J384" i="10"/>
  <c r="J216" i="10"/>
  <c r="J504" i="10"/>
  <c r="J408" i="10"/>
  <c r="J360" i="10"/>
  <c r="J240" i="10"/>
  <c r="J192" i="10"/>
  <c r="J144" i="10"/>
  <c r="J11" i="8"/>
  <c r="J33" i="8"/>
  <c r="J454" i="8"/>
  <c r="J77" i="10"/>
  <c r="J98" i="10"/>
  <c r="J53" i="10"/>
  <c r="F454" i="8"/>
  <c r="F33" i="8"/>
  <c r="J97" i="10"/>
  <c r="F218" i="8"/>
  <c r="F121" i="10"/>
  <c r="F98" i="10"/>
  <c r="J4" i="8"/>
  <c r="J383" i="10"/>
  <c r="J215" i="10"/>
  <c r="J503" i="10"/>
  <c r="J359" i="10"/>
  <c r="J191" i="10"/>
  <c r="J455" i="10"/>
  <c r="J311" i="10"/>
  <c r="J4" i="10"/>
  <c r="J239" i="10"/>
  <c r="J143" i="10"/>
  <c r="J407" i="10"/>
  <c r="M501" i="8"/>
  <c r="M305" i="8"/>
  <c r="M477" i="8"/>
  <c r="M242" i="8"/>
  <c r="M125" i="8"/>
  <c r="M329" i="8"/>
  <c r="M79" i="8"/>
  <c r="M433" i="8"/>
  <c r="M196" i="8"/>
  <c r="M412" i="8"/>
  <c r="M148" i="8"/>
  <c r="M373" i="8"/>
  <c r="M284" i="8"/>
  <c r="M263" i="8"/>
  <c r="L433" i="8"/>
  <c r="L305" i="8"/>
  <c r="L304" i="8"/>
  <c r="L432" i="8"/>
  <c r="F432" i="8"/>
  <c r="F304" i="8"/>
  <c r="L477" i="8"/>
  <c r="L501" i="8"/>
  <c r="L500" i="8"/>
  <c r="F216" i="10"/>
  <c r="F500" i="8"/>
  <c r="F372" i="8"/>
  <c r="F312" i="10"/>
  <c r="D310" i="10"/>
  <c r="F124" i="8"/>
  <c r="F241" i="8"/>
  <c r="L241" i="8"/>
  <c r="L147" i="8"/>
  <c r="D358" i="10"/>
  <c r="L196" i="8"/>
  <c r="F78" i="8"/>
  <c r="F384" i="10"/>
  <c r="L283" i="8"/>
  <c r="L56" i="8"/>
  <c r="L11" i="8"/>
  <c r="L329" i="8"/>
  <c r="L372" i="8"/>
  <c r="F411" i="8"/>
  <c r="L78" i="8"/>
  <c r="L476" i="8"/>
  <c r="D145" i="8"/>
  <c r="F53" i="10"/>
  <c r="L124" i="8"/>
  <c r="D9" i="10"/>
  <c r="F192" i="10"/>
  <c r="D193" i="8"/>
  <c r="D51" i="10"/>
  <c r="D382" i="10"/>
  <c r="J10" i="10"/>
  <c r="L79" i="8"/>
  <c r="L242" i="8"/>
  <c r="L373" i="8"/>
  <c r="D239" i="8"/>
  <c r="D75" i="10"/>
  <c r="D406" i="10"/>
  <c r="F147" i="8"/>
  <c r="F476" i="8"/>
  <c r="F240" i="10"/>
  <c r="L262" i="8"/>
  <c r="L411" i="8"/>
  <c r="D260" i="8"/>
  <c r="D142" i="10"/>
  <c r="D454" i="10"/>
  <c r="F195" i="8"/>
  <c r="F11" i="10"/>
  <c r="F360" i="10"/>
  <c r="L125" i="8"/>
  <c r="L412" i="8"/>
  <c r="D281" i="8"/>
  <c r="D502" i="10"/>
  <c r="D326" i="8"/>
  <c r="D474" i="8"/>
  <c r="F77" i="10"/>
  <c r="F456" i="10"/>
  <c r="L263" i="8"/>
  <c r="F262" i="8"/>
  <c r="F408" i="10"/>
  <c r="L12" i="8"/>
  <c r="L148" i="8"/>
  <c r="L284" i="8"/>
  <c r="D76" i="8"/>
  <c r="D370" i="8"/>
  <c r="F11" i="8"/>
  <c r="F283" i="8"/>
  <c r="F144" i="10"/>
  <c r="L55" i="8"/>
  <c r="L195" i="8"/>
  <c r="L328" i="8"/>
  <c r="D122" i="8"/>
  <c r="D409" i="8"/>
  <c r="D238" i="10"/>
  <c r="F55" i="8"/>
  <c r="F328" i="8"/>
  <c r="F504" i="10"/>
  <c r="G191" i="2"/>
  <c r="N175" i="2"/>
  <c r="M175" i="2"/>
  <c r="N174" i="2"/>
  <c r="M174" i="2"/>
  <c r="N173" i="2"/>
  <c r="M173" i="2"/>
  <c r="L74" i="10"/>
  <c r="E363" i="10"/>
  <c r="E519" i="10"/>
  <c r="E507" i="10"/>
  <c r="E492" i="10"/>
  <c r="E483" i="10"/>
  <c r="D483" i="10"/>
  <c r="E468" i="10"/>
  <c r="E459" i="10"/>
  <c r="E444" i="10"/>
  <c r="E435" i="10"/>
  <c r="E420" i="10"/>
  <c r="E411" i="10"/>
  <c r="E396" i="10"/>
  <c r="E387" i="10"/>
  <c r="E372" i="10"/>
  <c r="E348" i="10"/>
  <c r="D300" i="10"/>
  <c r="D291" i="10"/>
  <c r="D276" i="10"/>
  <c r="D267" i="10"/>
  <c r="D252" i="10"/>
  <c r="E300" i="10"/>
  <c r="E291" i="10"/>
  <c r="E276" i="10"/>
  <c r="E267" i="10"/>
  <c r="E252" i="10"/>
  <c r="E243" i="10"/>
  <c r="E219" i="10"/>
  <c r="E204" i="10"/>
  <c r="M2" i="10"/>
  <c r="D156" i="10"/>
  <c r="E171" i="10"/>
  <c r="E156" i="10"/>
  <c r="E147" i="10"/>
  <c r="E80" i="10"/>
  <c r="B496" i="8"/>
  <c r="E479" i="8"/>
  <c r="L473" i="8"/>
  <c r="B450" i="8"/>
  <c r="E443" i="8"/>
  <c r="L408" i="8"/>
  <c r="B387" i="8"/>
  <c r="E421" i="8"/>
  <c r="E414" i="8"/>
  <c r="L369" i="8"/>
  <c r="B347" i="8"/>
  <c r="E375" i="8"/>
  <c r="E339" i="8"/>
  <c r="E331" i="8"/>
  <c r="L325" i="8"/>
  <c r="B324" i="8"/>
  <c r="E319" i="8"/>
  <c r="E313" i="8"/>
  <c r="E307" i="8"/>
  <c r="E296" i="8"/>
  <c r="L280" i="8"/>
  <c r="B279" i="8"/>
  <c r="E291" i="8"/>
  <c r="E286" i="8"/>
  <c r="E275" i="8"/>
  <c r="E270" i="8"/>
  <c r="L259" i="8"/>
  <c r="E265" i="8"/>
  <c r="B258" i="8"/>
  <c r="E254" i="8"/>
  <c r="E249" i="8"/>
  <c r="E244" i="8"/>
  <c r="L238" i="8"/>
  <c r="B214" i="8"/>
  <c r="E198" i="8"/>
  <c r="L192" i="8"/>
  <c r="B167" i="8"/>
  <c r="E159" i="8"/>
  <c r="E150" i="8"/>
  <c r="L144" i="8"/>
  <c r="L121" i="8"/>
  <c r="E89" i="8"/>
  <c r="E81" i="8"/>
  <c r="L75" i="8"/>
  <c r="L429" i="10" l="1"/>
  <c r="L477" i="10"/>
  <c r="L285" i="10"/>
  <c r="L333" i="10"/>
  <c r="L165" i="10"/>
  <c r="L261" i="10"/>
  <c r="L357" i="10"/>
  <c r="L309" i="10"/>
  <c r="L237" i="10"/>
  <c r="L189" i="10"/>
  <c r="L141" i="10"/>
  <c r="L381" i="10"/>
  <c r="L405" i="10"/>
  <c r="L453" i="10"/>
  <c r="L501" i="10"/>
  <c r="L213" i="10"/>
  <c r="E66" i="8"/>
  <c r="E58" i="8"/>
  <c r="I185" i="2"/>
  <c r="I192" i="2"/>
  <c r="L52" i="8"/>
  <c r="L8" i="8"/>
  <c r="I189" i="2"/>
  <c r="B97" i="8"/>
  <c r="C317" i="2"/>
  <c r="B498" i="8" s="1"/>
  <c r="C323" i="2"/>
  <c r="C302" i="2"/>
  <c r="C288" i="2"/>
  <c r="C280" i="2"/>
  <c r="M2" i="8"/>
  <c r="M8" i="8"/>
  <c r="C292" i="2"/>
  <c r="B353" i="8" s="1"/>
  <c r="B143" i="8"/>
  <c r="C266" i="2"/>
  <c r="C261" i="2"/>
  <c r="C274" i="2"/>
  <c r="C287" i="2"/>
  <c r="C271" i="2"/>
  <c r="B269" i="8" s="1"/>
  <c r="C281" i="2"/>
  <c r="C268" i="2"/>
  <c r="B248" i="8" s="1"/>
  <c r="C270" i="2"/>
  <c r="B264" i="8" s="1"/>
  <c r="C269" i="2"/>
  <c r="B253" i="8" s="1"/>
  <c r="C319" i="2"/>
  <c r="C320" i="2"/>
  <c r="C289" i="2"/>
  <c r="C191" i="2"/>
  <c r="C189" i="2"/>
  <c r="C294" i="2"/>
  <c r="B393" i="8" s="1"/>
  <c r="B389" i="8" l="1"/>
  <c r="B452" i="8"/>
  <c r="B430" i="8"/>
  <c r="B409" i="8"/>
  <c r="B370" i="8"/>
  <c r="B349" i="8"/>
  <c r="B99" i="8"/>
  <c r="B122" i="8"/>
  <c r="B169" i="8"/>
  <c r="B216" i="8"/>
  <c r="B193" i="8"/>
  <c r="B184" i="8"/>
  <c r="B229" i="8"/>
  <c r="L149" i="8"/>
  <c r="L420" i="8"/>
  <c r="L478" i="8"/>
  <c r="L243" i="8"/>
  <c r="L269" i="8"/>
  <c r="L264" i="8"/>
  <c r="L413" i="8"/>
  <c r="L295" i="8"/>
  <c r="L442" i="8"/>
  <c r="L306" i="8"/>
  <c r="L290" i="8"/>
  <c r="L285" i="8"/>
  <c r="L253" i="8"/>
  <c r="L318" i="8"/>
  <c r="L248" i="8"/>
  <c r="L312" i="8"/>
  <c r="L274" i="8"/>
  <c r="L80" i="8"/>
  <c r="L193" i="8"/>
  <c r="L158" i="8"/>
  <c r="L88" i="8"/>
  <c r="B474" i="8"/>
  <c r="B326" i="8"/>
  <c r="B145" i="8"/>
  <c r="B76" i="8"/>
  <c r="I196" i="2"/>
  <c r="I195" i="2"/>
  <c r="I194" i="2"/>
  <c r="I193" i="2"/>
  <c r="I191" i="2"/>
  <c r="G192" i="2"/>
  <c r="C241" i="2"/>
  <c r="B371" i="10" s="1"/>
  <c r="C240" i="2"/>
  <c r="C306" i="2"/>
  <c r="C305" i="2"/>
  <c r="C301" i="2"/>
  <c r="B295" i="8" s="1"/>
  <c r="C300" i="2"/>
  <c r="B290" i="8" s="1"/>
  <c r="C314" i="2"/>
  <c r="B464" i="8" s="1"/>
  <c r="C303" i="2"/>
  <c r="C190" i="2"/>
  <c r="B302" i="8" s="1"/>
  <c r="C311" i="2"/>
  <c r="B318" i="8" s="1"/>
  <c r="C310" i="2"/>
  <c r="B312" i="8" s="1"/>
  <c r="K183" i="2"/>
  <c r="K184" i="2"/>
  <c r="L370" i="8" l="1"/>
  <c r="L371" i="8"/>
  <c r="L302" i="8"/>
  <c r="L281" i="8"/>
  <c r="L239" i="8"/>
  <c r="L146" i="8"/>
  <c r="L145" i="8"/>
  <c r="L410" i="8"/>
  <c r="L282" i="8"/>
  <c r="L77" i="8"/>
  <c r="L76" i="8"/>
  <c r="L409" i="8"/>
  <c r="L475" i="8"/>
  <c r="L430" i="8"/>
  <c r="L431" i="8"/>
  <c r="L303" i="8"/>
  <c r="L240" i="8"/>
  <c r="L474" i="8"/>
  <c r="L260" i="8"/>
  <c r="L261" i="8"/>
  <c r="L57" i="8"/>
  <c r="L65" i="8"/>
  <c r="B347" i="10"/>
  <c r="B362" i="10"/>
  <c r="B239" i="8"/>
  <c r="B260" i="8"/>
  <c r="B281" i="8"/>
  <c r="C273" i="2"/>
  <c r="B274" i="8" s="1"/>
  <c r="C272" i="2"/>
  <c r="B306" i="8" s="1"/>
  <c r="L180" i="2"/>
  <c r="L53" i="8" l="1"/>
  <c r="L3" i="8" s="1"/>
  <c r="L229" i="8"/>
  <c r="L217" i="8" s="1"/>
  <c r="L54" i="8"/>
  <c r="G193" i="2"/>
  <c r="K514" i="10" l="1"/>
  <c r="K460" i="10"/>
  <c r="K373" i="10"/>
  <c r="K340" i="10"/>
  <c r="K265" i="10"/>
  <c r="K289" i="10"/>
  <c r="K484" i="10"/>
  <c r="K33" i="10"/>
  <c r="K325" i="10"/>
  <c r="K337" i="10"/>
  <c r="K481" i="10"/>
  <c r="K388" i="10"/>
  <c r="K169" i="10"/>
  <c r="K520" i="10"/>
  <c r="K349" i="10"/>
  <c r="K421" i="10"/>
  <c r="K445" i="10"/>
  <c r="K412" i="10"/>
  <c r="K433" i="10"/>
  <c r="K436" i="10"/>
  <c r="K493" i="10"/>
  <c r="K397" i="10"/>
  <c r="K469" i="10"/>
  <c r="K316" i="10"/>
  <c r="K508" i="10"/>
  <c r="K364" i="10"/>
  <c r="K172" i="8"/>
  <c r="K352" i="8"/>
  <c r="K102" i="8"/>
  <c r="K392" i="8"/>
  <c r="L4" i="8"/>
  <c r="K181" i="10"/>
  <c r="K172" i="10"/>
  <c r="K277" i="10"/>
  <c r="K229" i="10"/>
  <c r="K301" i="10"/>
  <c r="K253" i="10"/>
  <c r="K220" i="10"/>
  <c r="K501" i="8"/>
  <c r="K477" i="8"/>
  <c r="K433" i="8"/>
  <c r="K412" i="8"/>
  <c r="K373" i="8"/>
  <c r="K329" i="8"/>
  <c r="K305" i="8"/>
  <c r="K284" i="8"/>
  <c r="K263" i="8"/>
  <c r="K242" i="8"/>
  <c r="K219" i="8"/>
  <c r="K196" i="8"/>
  <c r="K148" i="8"/>
  <c r="K125" i="8"/>
  <c r="K79" i="8"/>
  <c r="K56" i="8"/>
  <c r="K11" i="8"/>
  <c r="K126" i="10"/>
  <c r="K196" i="10"/>
  <c r="K148" i="10"/>
  <c r="K193" i="10"/>
  <c r="K33" i="8"/>
  <c r="K244" i="10"/>
  <c r="K385" i="10"/>
  <c r="K361" i="10"/>
  <c r="K122" i="10"/>
  <c r="K205" i="10"/>
  <c r="K505" i="10"/>
  <c r="K313" i="10"/>
  <c r="K455" i="8"/>
  <c r="K241" i="10"/>
  <c r="K292" i="10"/>
  <c r="K457" i="10"/>
  <c r="K268" i="10"/>
  <c r="K157" i="10"/>
  <c r="K409" i="10"/>
  <c r="K217" i="10"/>
  <c r="K145" i="10"/>
  <c r="K82" i="10"/>
  <c r="K103" i="10"/>
  <c r="K78" i="10"/>
  <c r="K99" i="10"/>
  <c r="K54" i="10"/>
  <c r="E185" i="2" l="1"/>
  <c r="C181" i="2"/>
  <c r="C233" i="2"/>
  <c r="B266" i="10" s="1"/>
  <c r="C336" i="2" l="1"/>
  <c r="C335" i="2"/>
  <c r="C265" i="2"/>
  <c r="C260" i="2"/>
  <c r="C264" i="2"/>
  <c r="C263" i="2"/>
  <c r="C262" i="2"/>
  <c r="C276" i="2"/>
  <c r="B88" i="8" s="1"/>
  <c r="C330" i="2"/>
  <c r="C329" i="2"/>
  <c r="I186" i="2"/>
  <c r="C174" i="2"/>
  <c r="N171" i="2"/>
  <c r="I175" i="2"/>
  <c r="C6" i="4" s="1"/>
  <c r="I174" i="2"/>
  <c r="C5" i="4" s="1"/>
  <c r="L174" i="2"/>
  <c r="C171" i="2"/>
  <c r="L173" i="2"/>
  <c r="I173" i="2"/>
  <c r="C4" i="4" s="1"/>
  <c r="H4" i="4" l="1"/>
  <c r="H5" i="4"/>
  <c r="H6" i="4"/>
  <c r="C352" i="2"/>
  <c r="C351" i="2"/>
  <c r="C350" i="2"/>
  <c r="C349" i="2"/>
  <c r="C348" i="2"/>
  <c r="C347" i="2"/>
  <c r="C346" i="2"/>
  <c r="C345" i="2"/>
  <c r="C344" i="2"/>
  <c r="C343" i="2"/>
  <c r="C342" i="2"/>
  <c r="C341" i="2"/>
  <c r="C340" i="2"/>
  <c r="C339" i="2"/>
  <c r="C338" i="2"/>
  <c r="C337" i="2"/>
  <c r="C334" i="2"/>
  <c r="C333" i="2"/>
  <c r="C332" i="2"/>
  <c r="C331" i="2"/>
  <c r="C328" i="2"/>
  <c r="C327" i="2"/>
  <c r="C326" i="2"/>
  <c r="C325" i="2"/>
  <c r="C324" i="2"/>
  <c r="C322" i="2"/>
  <c r="C321" i="2"/>
  <c r="C318" i="2"/>
  <c r="C316" i="2"/>
  <c r="C315" i="2"/>
  <c r="C309" i="2"/>
  <c r="C308" i="2"/>
  <c r="C307" i="2"/>
  <c r="C211" i="2"/>
  <c r="B67" i="10" s="1"/>
  <c r="C212" i="2"/>
  <c r="C313" i="2"/>
  <c r="B456" i="8" s="1"/>
  <c r="C312" i="2"/>
  <c r="B442" i="8" s="1"/>
  <c r="C304" i="2"/>
  <c r="C299" i="2"/>
  <c r="B285" i="8" s="1"/>
  <c r="C298" i="2"/>
  <c r="B434" i="8" s="1"/>
  <c r="C297" i="2"/>
  <c r="B420" i="8" s="1"/>
  <c r="C296" i="2"/>
  <c r="B413" i="8" s="1"/>
  <c r="C295" i="2"/>
  <c r="B401" i="8" s="1"/>
  <c r="C293" i="2"/>
  <c r="B374" i="8" s="1"/>
  <c r="C291" i="2"/>
  <c r="B338" i="8" s="1"/>
  <c r="C290" i="2"/>
  <c r="B330" i="8" s="1"/>
  <c r="C286" i="2"/>
  <c r="C285" i="2"/>
  <c r="B173" i="8" s="1"/>
  <c r="C284" i="2"/>
  <c r="C282" i="2"/>
  <c r="B149" i="8" s="1"/>
  <c r="C279" i="2"/>
  <c r="C278" i="2"/>
  <c r="C277" i="2"/>
  <c r="C267" i="2"/>
  <c r="B243" i="8" s="1"/>
  <c r="C275" i="2"/>
  <c r="C259" i="2"/>
  <c r="C258" i="2"/>
  <c r="B57" i="8" s="1"/>
  <c r="C257" i="2"/>
  <c r="B43" i="8" s="1"/>
  <c r="C256" i="2"/>
  <c r="C255" i="2"/>
  <c r="C254" i="2"/>
  <c r="B512" i="10" s="1"/>
  <c r="C253" i="2"/>
  <c r="B506" i="10" s="1"/>
  <c r="C252" i="2"/>
  <c r="B491" i="10" s="1"/>
  <c r="C251" i="2"/>
  <c r="B482" i="10" s="1"/>
  <c r="C250" i="2"/>
  <c r="B467" i="10" s="1"/>
  <c r="C249" i="2"/>
  <c r="B458" i="10" s="1"/>
  <c r="C248" i="2"/>
  <c r="B443" i="10" s="1"/>
  <c r="C247" i="2"/>
  <c r="B434" i="10" s="1"/>
  <c r="C246" i="2"/>
  <c r="B419" i="10" s="1"/>
  <c r="C245" i="2"/>
  <c r="B410" i="10" s="1"/>
  <c r="C244" i="2"/>
  <c r="B395" i="10" s="1"/>
  <c r="C243" i="2"/>
  <c r="C242" i="2"/>
  <c r="B386" i="10" s="1"/>
  <c r="C239" i="2"/>
  <c r="C238" i="2"/>
  <c r="B338" i="10" s="1"/>
  <c r="C218" i="2"/>
  <c r="C237" i="2"/>
  <c r="B323" i="10" s="1"/>
  <c r="C236" i="2"/>
  <c r="B314" i="10" s="1"/>
  <c r="C235" i="2"/>
  <c r="B290" i="10" s="1"/>
  <c r="C234" i="2"/>
  <c r="B275" i="10" s="1"/>
  <c r="C232" i="2"/>
  <c r="B251" i="10" s="1"/>
  <c r="C231" i="2"/>
  <c r="B242" i="10" s="1"/>
  <c r="C230" i="2"/>
  <c r="C217" i="2"/>
  <c r="B146" i="10" s="1"/>
  <c r="C229" i="2"/>
  <c r="C228" i="2"/>
  <c r="C227" i="2"/>
  <c r="B299" i="10" s="1"/>
  <c r="C226" i="2"/>
  <c r="B227" i="10" s="1"/>
  <c r="C225" i="2"/>
  <c r="B218" i="10" s="1"/>
  <c r="C224" i="2"/>
  <c r="B203" i="10" s="1"/>
  <c r="C223" i="2"/>
  <c r="B194" i="10" s="1"/>
  <c r="C222" i="2"/>
  <c r="C221" i="2"/>
  <c r="B179" i="10" s="1"/>
  <c r="C220" i="2"/>
  <c r="B170" i="10" s="1"/>
  <c r="C219" i="2"/>
  <c r="B155" i="10" s="1"/>
  <c r="C216" i="2"/>
  <c r="B123" i="10" s="1"/>
  <c r="C215" i="2"/>
  <c r="B100" i="10" s="1"/>
  <c r="C214" i="2"/>
  <c r="B79" i="10" s="1"/>
  <c r="C213" i="2"/>
  <c r="C210" i="2"/>
  <c r="B61" i="10" s="1"/>
  <c r="C209" i="2"/>
  <c r="C208" i="2"/>
  <c r="B44" i="10" s="1"/>
  <c r="C207" i="2"/>
  <c r="B39" i="10" s="1"/>
  <c r="C206" i="2"/>
  <c r="B34" i="10" s="1"/>
  <c r="C205" i="2"/>
  <c r="B23" i="10" s="1"/>
  <c r="C204" i="2"/>
  <c r="B18" i="10" s="1"/>
  <c r="C203" i="2"/>
  <c r="B13" i="10" s="1"/>
  <c r="C202" i="2"/>
  <c r="C201" i="2"/>
  <c r="C184" i="2"/>
  <c r="C195" i="2"/>
  <c r="E191" i="2"/>
  <c r="N189" i="2"/>
  <c r="D13" i="4" s="1"/>
  <c r="N188" i="2"/>
  <c r="N187" i="2"/>
  <c r="N186" i="2"/>
  <c r="N185" i="2"/>
  <c r="N184" i="2"/>
  <c r="N183" i="2"/>
  <c r="N182" i="2"/>
  <c r="N180" i="2"/>
  <c r="F11" i="4" s="1"/>
  <c r="M192" i="2"/>
  <c r="M189" i="2"/>
  <c r="M188" i="2"/>
  <c r="M187" i="2"/>
  <c r="M186" i="2"/>
  <c r="M185" i="2"/>
  <c r="M184" i="2"/>
  <c r="M183" i="2"/>
  <c r="M182" i="2"/>
  <c r="M180" i="2"/>
  <c r="D11" i="4" s="1"/>
  <c r="L195" i="2"/>
  <c r="L194" i="2"/>
  <c r="L193" i="2"/>
  <c r="L192" i="2"/>
  <c r="L191" i="2"/>
  <c r="L190" i="2"/>
  <c r="L189" i="2"/>
  <c r="L188" i="2"/>
  <c r="L187" i="2"/>
  <c r="L186" i="2"/>
  <c r="L185" i="2"/>
  <c r="L184" i="2"/>
  <c r="L183" i="2"/>
  <c r="L182" i="2"/>
  <c r="I188" i="2"/>
  <c r="K196" i="2"/>
  <c r="K195" i="2"/>
  <c r="K192" i="2"/>
  <c r="K191" i="2"/>
  <c r="K190" i="2"/>
  <c r="K189" i="2"/>
  <c r="K188" i="2"/>
  <c r="K187" i="2"/>
  <c r="K194" i="2"/>
  <c r="K193" i="2"/>
  <c r="K185" i="2"/>
  <c r="B15" i="4"/>
  <c r="E182" i="2"/>
  <c r="E181" i="2"/>
  <c r="B12" i="4" s="1"/>
  <c r="I187" i="2"/>
  <c r="B2" i="4"/>
  <c r="G196" i="2"/>
  <c r="G195" i="2"/>
  <c r="G194" i="2"/>
  <c r="E190" i="2"/>
  <c r="E189" i="2"/>
  <c r="E188" i="2"/>
  <c r="E187" i="2"/>
  <c r="I11" i="4" s="1"/>
  <c r="C180" i="2"/>
  <c r="C194" i="2"/>
  <c r="C192" i="2"/>
  <c r="C188" i="2"/>
  <c r="C187" i="2"/>
  <c r="C186" i="2"/>
  <c r="C185" i="2"/>
  <c r="E262" i="10" l="1"/>
  <c r="E430" i="10"/>
  <c r="E30" i="10"/>
  <c r="E286" i="10"/>
  <c r="E166" i="10"/>
  <c r="E478" i="10"/>
  <c r="E334" i="10"/>
  <c r="J12" i="10"/>
  <c r="J433" i="10"/>
  <c r="J337" i="10"/>
  <c r="J481" i="10"/>
  <c r="J289" i="10"/>
  <c r="J33" i="10"/>
  <c r="J169" i="10"/>
  <c r="J265" i="10"/>
  <c r="B334" i="10"/>
  <c r="B310" i="10"/>
  <c r="B286" i="10"/>
  <c r="B166" i="10"/>
  <c r="B262" i="10"/>
  <c r="B478" i="10"/>
  <c r="B454" i="10"/>
  <c r="B430" i="10"/>
  <c r="B502" i="10"/>
  <c r="I265" i="10"/>
  <c r="I12" i="10"/>
  <c r="I433" i="10"/>
  <c r="I289" i="10"/>
  <c r="I337" i="10"/>
  <c r="I481" i="10"/>
  <c r="I33" i="10"/>
  <c r="I169" i="10"/>
  <c r="B51" i="10"/>
  <c r="B30" i="10"/>
  <c r="J113" i="8"/>
  <c r="J403" i="8"/>
  <c r="J352" i="8"/>
  <c r="J355" i="8"/>
  <c r="J175" i="8"/>
  <c r="J172" i="8"/>
  <c r="J102" i="8"/>
  <c r="J395" i="8"/>
  <c r="J392" i="8"/>
  <c r="J105" i="8"/>
  <c r="E349" i="8"/>
  <c r="E99" i="8"/>
  <c r="E169" i="8"/>
  <c r="E389" i="8"/>
  <c r="I352" i="8"/>
  <c r="I102" i="8"/>
  <c r="I172" i="8"/>
  <c r="I392" i="8"/>
  <c r="J455" i="8"/>
  <c r="J480" i="8"/>
  <c r="J340" i="8"/>
  <c r="J308" i="8"/>
  <c r="J276" i="8"/>
  <c r="J250" i="8"/>
  <c r="J59" i="8"/>
  <c r="J457" i="10"/>
  <c r="J385" i="10"/>
  <c r="J313" i="10"/>
  <c r="J217" i="10"/>
  <c r="J15" i="8"/>
  <c r="J444" i="8"/>
  <c r="J332" i="8"/>
  <c r="J271" i="8"/>
  <c r="J34" i="8"/>
  <c r="J436" i="8"/>
  <c r="J466" i="8"/>
  <c r="J186" i="8"/>
  <c r="J128" i="8"/>
  <c r="J23" i="8"/>
  <c r="J297" i="8"/>
  <c r="J245" i="8"/>
  <c r="J151" i="8"/>
  <c r="J45" i="8"/>
  <c r="J516" i="8"/>
  <c r="J415" i="8"/>
  <c r="J314" i="8"/>
  <c r="J287" i="8"/>
  <c r="J255" i="8"/>
  <c r="J67" i="8"/>
  <c r="J501" i="8"/>
  <c r="J477" i="8"/>
  <c r="J433" i="8"/>
  <c r="J412" i="8"/>
  <c r="J373" i="8"/>
  <c r="J329" i="8"/>
  <c r="J305" i="8"/>
  <c r="J284" i="8"/>
  <c r="J263" i="8"/>
  <c r="J266" i="8"/>
  <c r="J231" i="8"/>
  <c r="J160" i="8"/>
  <c r="J409" i="10"/>
  <c r="J219" i="8"/>
  <c r="J148" i="8"/>
  <c r="J79" i="8"/>
  <c r="J12" i="8"/>
  <c r="J376" i="8"/>
  <c r="J292" i="8"/>
  <c r="J222" i="8"/>
  <c r="J361" i="10"/>
  <c r="J193" i="10"/>
  <c r="J37" i="8"/>
  <c r="J422" i="8"/>
  <c r="J90" i="8"/>
  <c r="J145" i="10"/>
  <c r="J242" i="8"/>
  <c r="J196" i="8"/>
  <c r="J125" i="8"/>
  <c r="J56" i="8"/>
  <c r="J199" i="8"/>
  <c r="J82" i="8"/>
  <c r="J505" i="10"/>
  <c r="J320" i="8"/>
  <c r="J241" i="10"/>
  <c r="J458" i="8"/>
  <c r="J122" i="10"/>
  <c r="J78" i="10"/>
  <c r="J82" i="10"/>
  <c r="J103" i="10"/>
  <c r="J99" i="10"/>
  <c r="J54" i="10"/>
  <c r="E358" i="10"/>
  <c r="E452" i="8"/>
  <c r="E31" i="8"/>
  <c r="B53" i="8"/>
  <c r="B31" i="8"/>
  <c r="B9" i="8"/>
  <c r="I217" i="10"/>
  <c r="I457" i="10"/>
  <c r="I505" i="10"/>
  <c r="I193" i="10"/>
  <c r="I455" i="8"/>
  <c r="I33" i="8"/>
  <c r="I361" i="10"/>
  <c r="I99" i="10"/>
  <c r="I313" i="10"/>
  <c r="I78" i="10"/>
  <c r="I11" i="8"/>
  <c r="I329" i="8"/>
  <c r="I501" i="8"/>
  <c r="I263" i="8"/>
  <c r="I219" i="8"/>
  <c r="I148" i="8"/>
  <c r="I79" i="8"/>
  <c r="I409" i="10"/>
  <c r="I412" i="8"/>
  <c r="I385" i="10"/>
  <c r="I305" i="8"/>
  <c r="I241" i="10"/>
  <c r="I477" i="8"/>
  <c r="I145" i="10"/>
  <c r="I373" i="8"/>
  <c r="I242" i="8"/>
  <c r="I196" i="8"/>
  <c r="I125" i="8"/>
  <c r="I56" i="8"/>
  <c r="I122" i="10"/>
  <c r="I284" i="8"/>
  <c r="I54" i="10"/>
  <c r="I433" i="8"/>
  <c r="B14" i="4"/>
  <c r="B220" i="8"/>
  <c r="E96" i="10"/>
  <c r="E119" i="10"/>
  <c r="E216" i="8"/>
  <c r="B142" i="10"/>
  <c r="B119" i="10"/>
  <c r="B238" i="10"/>
  <c r="B190" i="10"/>
  <c r="B96" i="10"/>
  <c r="B214" i="10"/>
  <c r="E302" i="8"/>
  <c r="E430" i="8"/>
  <c r="E498" i="8"/>
  <c r="E310" i="10"/>
  <c r="E9" i="10"/>
  <c r="E9" i="8"/>
  <c r="E51" i="10"/>
  <c r="B9" i="10"/>
  <c r="B406" i="10"/>
  <c r="B358" i="10"/>
  <c r="B382" i="10"/>
  <c r="E238" i="10"/>
  <c r="E214" i="10"/>
  <c r="E75" i="10"/>
  <c r="E454" i="10"/>
  <c r="E382" i="10"/>
  <c r="E142" i="10"/>
  <c r="E406" i="10"/>
  <c r="E190" i="10"/>
  <c r="E502" i="10"/>
  <c r="B75" i="10"/>
  <c r="E474" i="8"/>
  <c r="E370" i="8"/>
  <c r="E281" i="8"/>
  <c r="E239" i="8"/>
  <c r="E193" i="8"/>
  <c r="E145" i="8"/>
  <c r="E409" i="8"/>
  <c r="E326" i="8"/>
  <c r="E260" i="8"/>
  <c r="E76" i="8"/>
  <c r="E122" i="8"/>
  <c r="E53" i="8"/>
  <c r="F12" i="4"/>
  <c r="B8" i="10"/>
  <c r="B95" i="10"/>
  <c r="L430" i="10"/>
  <c r="L3" i="10" s="1"/>
</calcChain>
</file>

<file path=xl/sharedStrings.xml><?xml version="1.0" encoding="utf-8"?>
<sst xmlns="http://schemas.openxmlformats.org/spreadsheetml/2006/main" count="5196" uniqueCount="2271">
  <si>
    <t>Soil and site</t>
  </si>
  <si>
    <t>Storm sewer</t>
  </si>
  <si>
    <t>Sanitary sewer</t>
  </si>
  <si>
    <t>Fibre-optic telecom</t>
  </si>
  <si>
    <t>Highway</t>
  </si>
  <si>
    <t>Arterial road</t>
  </si>
  <si>
    <t>Collector road</t>
  </si>
  <si>
    <t>Lane or local road</t>
  </si>
  <si>
    <t>Canal</t>
  </si>
  <si>
    <t>Energy storage facility</t>
  </si>
  <si>
    <t>Exterior parking area</t>
  </si>
  <si>
    <t>Water table / aquifer</t>
  </si>
  <si>
    <t>Street lighting system</t>
  </si>
  <si>
    <t>Rebuild on new site</t>
  </si>
  <si>
    <t>Community garden(s)</t>
  </si>
  <si>
    <t>Underground train</t>
  </si>
  <si>
    <t>Bicycle stations</t>
  </si>
  <si>
    <t>Footpaths</t>
  </si>
  <si>
    <t>Local light rail station</t>
  </si>
  <si>
    <t>Inter-urban train station</t>
  </si>
  <si>
    <t>Dock or harbour</t>
  </si>
  <si>
    <t>Cemeteries</t>
  </si>
  <si>
    <t>Landfills</t>
  </si>
  <si>
    <t>Monuments</t>
  </si>
  <si>
    <t>Bridges</t>
  </si>
  <si>
    <t>Tanks for liquid storage</t>
  </si>
  <si>
    <t>Parking structures</t>
  </si>
  <si>
    <t>Relevant sustainability objectives</t>
  </si>
  <si>
    <t>Action required</t>
  </si>
  <si>
    <t>Click on 1, 2 or 3 at upper left to see different levels of detail</t>
  </si>
  <si>
    <t>10. Shift from private to public transport to conserve land and improve air quality</t>
  </si>
  <si>
    <t>11. Prioritise clean energy supply with renewables and zero use of fossil fuels</t>
  </si>
  <si>
    <t>12. Minimise embodied and operating energy of all energy-using facilities and equipment</t>
  </si>
  <si>
    <t>1. Freeze new construction in areas that are vulnerable to sea level rise, riverine flooding, windstorms, drought or wildfires.</t>
  </si>
  <si>
    <t>3. Retain and enhance areas of ecological or agricultural value</t>
  </si>
  <si>
    <t>4. Conserve urban heritage areas, buildings and monuments</t>
  </si>
  <si>
    <t>5. Reduce urban heat island effect through vegetation, parks and urban forests</t>
  </si>
  <si>
    <t>2. Ensure that urban areas minimise future damage from climate change impacts, earthquakes or military action</t>
  </si>
  <si>
    <t>6. Ensure that housing, public facilities and utility systems are able to operate at optimal functional and energy performance levels</t>
  </si>
  <si>
    <t xml:space="preserve">7. Ensure that housing, public facilities and utilities satisfy physical and social needs and promote economic equity </t>
  </si>
  <si>
    <t>8. Mimimise life-cycle capital costs of housing, public facilities and utilities</t>
  </si>
  <si>
    <t>9. Establish clusters of diverse existing buildings in synergy zones that balance surpluses and deficits of energy and water.</t>
  </si>
  <si>
    <t>13. Minimise use of non-renewable materials in new construction and make effective use of recovered materials for re-use or recycling</t>
  </si>
  <si>
    <t>14. Minimise use of non-renewable materials in new construction and make effective use of recovered materials for re-use or recycling</t>
  </si>
  <si>
    <t>System or Facility</t>
  </si>
  <si>
    <t>Public and private transport</t>
  </si>
  <si>
    <t>International Initiative for Sustainable Built Environment</t>
  </si>
  <si>
    <t>Building Components and Assemblies</t>
  </si>
  <si>
    <t>Exterior building envelope</t>
  </si>
  <si>
    <t>Exterior glazing systems</t>
  </si>
  <si>
    <t>Roof systems</t>
  </si>
  <si>
    <t>Structural concrete debris</t>
  </si>
  <si>
    <t>Mixed structural debris</t>
  </si>
  <si>
    <t>Other Built Structures</t>
  </si>
  <si>
    <t xml:space="preserve">Technical Systems for buildings </t>
  </si>
  <si>
    <t>Central boiler</t>
  </si>
  <si>
    <t>Plumbing</t>
  </si>
  <si>
    <t>Electrical</t>
  </si>
  <si>
    <t>Communication systems</t>
  </si>
  <si>
    <t>Elevators</t>
  </si>
  <si>
    <t>Escalators</t>
  </si>
  <si>
    <t>Local health facility</t>
  </si>
  <si>
    <t>Local hospital</t>
  </si>
  <si>
    <t>Primary school</t>
  </si>
  <si>
    <t>High school</t>
  </si>
  <si>
    <t>College or university</t>
  </si>
  <si>
    <t>Office building =&lt; 3 floors</t>
  </si>
  <si>
    <t>Hotel</t>
  </si>
  <si>
    <t>Restaurant / café</t>
  </si>
  <si>
    <t>Bus depot</t>
  </si>
  <si>
    <t>Warehouse facility</t>
  </si>
  <si>
    <t>Light manufacturing</t>
  </si>
  <si>
    <t>Heavy manufacturing</t>
  </si>
  <si>
    <t>Houses and Housing</t>
  </si>
  <si>
    <t>Single detached houses</t>
  </si>
  <si>
    <t>Large / specialised hospital</t>
  </si>
  <si>
    <t>Flood damage to structures and contents</t>
  </si>
  <si>
    <t>Wildfire</t>
  </si>
  <si>
    <t>Causal Factors</t>
  </si>
  <si>
    <t>Drought</t>
  </si>
  <si>
    <t>Urban heat island</t>
  </si>
  <si>
    <t>Select language for basic text</t>
  </si>
  <si>
    <t>Language</t>
  </si>
  <si>
    <t>English</t>
  </si>
  <si>
    <t>Ukrainian</t>
  </si>
  <si>
    <t>Polish</t>
  </si>
  <si>
    <t>German</t>
  </si>
  <si>
    <t>Turkish</t>
  </si>
  <si>
    <t>Comments</t>
  </si>
  <si>
    <t>Life safety threat to humans and long-term damage to ecology</t>
  </si>
  <si>
    <t>Excess temperatures leading to health hazards for humans and ecological damage</t>
  </si>
  <si>
    <t>Fire and smoke damage to structures and contents; ecological damage</t>
  </si>
  <si>
    <t>Destabilisation of foundations and ecological damage</t>
  </si>
  <si>
    <t>Task: Damage Assessments</t>
  </si>
  <si>
    <t>Damage Assessments for Sustainable Reconstruction in Ukraine</t>
  </si>
  <si>
    <t>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t>
  </si>
  <si>
    <t>Демонтаж для повторного використання</t>
  </si>
  <si>
    <t>Модернізація енергетичних систем</t>
  </si>
  <si>
    <t>Капітальна модернізація енергетичної системи</t>
  </si>
  <si>
    <t>Підвищення рівня моря</t>
  </si>
  <si>
    <t>Міський острів тепла</t>
  </si>
  <si>
    <t>Хімічні або радіаційні аварії</t>
  </si>
  <si>
    <t>Посуха</t>
  </si>
  <si>
    <t>Лісова пожежа</t>
  </si>
  <si>
    <t>Загроза безпеці життєдіяльності людини та довготривала шкода екології</t>
  </si>
  <si>
    <t>Дестабілізація фундаментів і екологічна шкода</t>
  </si>
  <si>
    <t xml:space="preserve">Damage by military action </t>
  </si>
  <si>
    <t>Причинні фактори</t>
  </si>
  <si>
    <t>Коментарі</t>
  </si>
  <si>
    <t>Local atmosphere</t>
  </si>
  <si>
    <t>Town Gas storage tanks</t>
  </si>
  <si>
    <t>Public utilities and services 2</t>
  </si>
  <si>
    <t>Public utilities and services 1</t>
  </si>
  <si>
    <t>Balconies</t>
  </si>
  <si>
    <t>Interior finishes</t>
  </si>
  <si>
    <t>Fixed equipment and appliances</t>
  </si>
  <si>
    <t>Heat Pumps</t>
  </si>
  <si>
    <t>Sea Level rise</t>
  </si>
  <si>
    <t>Structural and water damage to structures and contents</t>
  </si>
  <si>
    <t>Earthquake</t>
  </si>
  <si>
    <t>Riverine flooding / heavy rain</t>
  </si>
  <si>
    <t>Річкова повінь / сильний дощ</t>
  </si>
  <si>
    <t>Ураган / циклон</t>
  </si>
  <si>
    <t>Землетрус</t>
  </si>
  <si>
    <t>English Default</t>
  </si>
  <si>
    <t>Відповідні цілі сталого розвитку</t>
  </si>
  <si>
    <t>Безпосередні чинники</t>
  </si>
  <si>
    <t>Заподіяна шкода</t>
  </si>
  <si>
    <t>Завдання: Оцінка збитків</t>
  </si>
  <si>
    <t>Оцінка збитків для сталої реконструкції в Україні</t>
  </si>
  <si>
    <t>Система або засіб</t>
  </si>
  <si>
    <t>Див. дії та пріоритети для конкретних систем нижче</t>
  </si>
  <si>
    <t>Грунт і ділянка</t>
  </si>
  <si>
    <t>Комунальні послуги 1</t>
  </si>
  <si>
    <t>Комунальні послуги 2</t>
  </si>
  <si>
    <t>Громадський та особистий транспорт</t>
  </si>
  <si>
    <t>Будинки та житло</t>
  </si>
  <si>
    <t>Інші споруди</t>
  </si>
  <si>
    <t>Будівельні компоненти та вузли</t>
  </si>
  <si>
    <t>Технічні системи для будівель</t>
  </si>
  <si>
    <t>Obiekty użyteczności publicznej i usługi 1</t>
  </si>
  <si>
    <t>Obiekty użyteczności publicznej i usługi 2</t>
  </si>
  <si>
    <t>Transport publiczny i prywatny</t>
  </si>
  <si>
    <t>Domy i mieszkania</t>
  </si>
  <si>
    <t>Uszkodzenia w wyniku działań wojskowych</t>
  </si>
  <si>
    <t>Spowodowane szkody</t>
  </si>
  <si>
    <t>Poważna modernizacja systemu energetycznego</t>
  </si>
  <si>
    <t>System lub obiekt</t>
  </si>
  <si>
    <t>Wzrost poziomu morza</t>
  </si>
  <si>
    <t>Powodzie rzeczne / ulewne deszcze</t>
  </si>
  <si>
    <t>Huragan / cyklon</t>
  </si>
  <si>
    <t>Miejska wyspa ciepła</t>
  </si>
  <si>
    <t>Susza</t>
  </si>
  <si>
    <t>Pożar</t>
  </si>
  <si>
    <t>Trzęsienie ziemi</t>
  </si>
  <si>
    <t>Uwagi</t>
  </si>
  <si>
    <t>Натисніть 1, 2 або 3 у верхньому лівому куті, щоб побачити різні рівні деталізації</t>
  </si>
  <si>
    <t>Enter any text changes you want to make in the yellow cells</t>
  </si>
  <si>
    <t>Ten plik jest opracowywany przez wielu członków iiSBE i innych specjalistów z kilku krajów Europy Środkowej zainteresowanych zrównoważoną odbudową Ukrainy. Jego celem jest umożliwienie organizacjom znajdującym się na miejscu w uproszony sposób opisanie szkód spowodowanych działaniami wojennymi i określenie działań zmierzających do odbudowy.    
Plik jest skonstruowany także w sposób, umożliwiający jego wykorzystanie do scharakteryzowania szkód spowodowanych innymi czynnikami, takimi jak powodzie, wichury, pożary i trzęsienia ziemi. Plik będzie połączony z wersją narzędzi iiSBE, które zostały zaprojektowane w celu oceny poziomu zrównoważonego rozwoju dla sąsiedztwa (SNTool) lub budynków (SBTool).</t>
  </si>
  <si>
    <t>Kliknij 1, 2 lub 3 w lewym górnym rogu, aby zobaczyć różne poziomy uszczegółowienia.</t>
  </si>
  <si>
    <t>Wymagane działania</t>
  </si>
  <si>
    <t>Powiązane cele zrównoważonego rozwoju</t>
  </si>
  <si>
    <t>Przyczyny pośrednie</t>
  </si>
  <si>
    <t>Przyczyny bezpośrednie</t>
  </si>
  <si>
    <t>Gleba i działka</t>
  </si>
  <si>
    <t>Rozbiórka z przeznaczeniem do utylizacji</t>
  </si>
  <si>
    <t xml:space="preserve">1. Uniemożliwienie nowej zabudowy na obszarach podatnych na wzrost poziomu morze, powodzie, huraganowe wiatry, susze lub pożary. </t>
  </si>
  <si>
    <t>Uszkodzenia powodziowe obiektów i ich wyposażenia</t>
  </si>
  <si>
    <t>Demontaż z możliwością ponownego użycia</t>
  </si>
  <si>
    <t>2. Zadbanie o to aby przestrzeń zurbanizowana minimalizowała wpływ zmian klimatu, zagrożenia trzęsieniami ziemi lub działaniami militarnymi.</t>
  </si>
  <si>
    <t>Oczyszczanie / Odkażenie</t>
  </si>
  <si>
    <t>3. Zachowanie terenów o wartościach ekologicznych lub rolniczych oraz zwiększenie ich potencjału.</t>
  </si>
  <si>
    <t>Uszkodzenia konstrukcji, zalania obiektów i ich zawartości</t>
  </si>
  <si>
    <t>Poniżej zobacz Działania i Priorytety dla konkretnych systemów</t>
  </si>
  <si>
    <t>Drobne naprawy</t>
  </si>
  <si>
    <t>4. Ochrona terenów, budynków lub innych zabytków stanowiących dziedzictwo narodowe.</t>
  </si>
  <si>
    <t>Podwyższone temperatury prowadzące do zagrożenia zdrowia ludzi i innych szkód ekologicznych</t>
  </si>
  <si>
    <t>Umiarkowane naprawy</t>
  </si>
  <si>
    <t>5. Redukcja potencjału miejskiej wyspy ciepła poprzez zielono-niebieską infrastrukturę.</t>
  </si>
  <si>
    <t>Skażenie chemiczne lub radiacyjne</t>
  </si>
  <si>
    <t>Zagrożenie bezpieczeństwa oraz zdrowia i życia ludzi, długotrwałe szkody ekologiczne</t>
  </si>
  <si>
    <t>Procent uszkodzeń</t>
  </si>
  <si>
    <t>Znaczna rekonstrukcja</t>
  </si>
  <si>
    <t>6. Zapewnienie funkcjonowania na optymalnym poziomie z uwzględnieniem wysokiej wydajności energetycznej budownictwa mieszkaniowego, użyteczności publicznej i innych usług.</t>
  </si>
  <si>
    <t>Szkody ekologiczne</t>
  </si>
  <si>
    <t>Inne konstrukcje budowlane</t>
  </si>
  <si>
    <t>„Poziom Uszkodzeń
 (wybierz jeden na komórkę)"</t>
  </si>
  <si>
    <t>Modernizacja systemu energetycznego</t>
  </si>
  <si>
    <t>7. Wykorzystanie budownictwa mieszkaniowego i usług do zaspokajania potrzeb społecznych i promowania równości ekonomicznej wsród mieszkańców.</t>
  </si>
  <si>
    <t>Uszkodzenia obiektów i ich wyposażenia spowodowane przez ogień i dym; szkody ekologiczne</t>
  </si>
  <si>
    <t>8. Minimalizacja wielkości kosztów w całym cyklu życia budynków.</t>
  </si>
  <si>
    <t>Uszkodzenia strukturalne obiektów i ich wyposażenia</t>
  </si>
  <si>
    <t>Systemy techniczne w budynkach</t>
  </si>
  <si>
    <t>Wybierz bazowy język</t>
  </si>
  <si>
    <t>Odbudowa w tym samym miejscu</t>
  </si>
  <si>
    <t>9. Tworzenie klastrów budynków powiązanych w strefach synergii balansujących nadwyżki lub niedobory energii, wiatru i wody.</t>
  </si>
  <si>
    <t>Odbudowa w nowej lokalizacji</t>
  </si>
  <si>
    <t>10. Kładzenie nacisku na transport publiczny w celu ochrony środowiska i jakości powietrza.</t>
  </si>
  <si>
    <t>11. Priorytyzacja czystych i odnawialnych źródeł energii; wykluczenie energii z paliw kopalnych.</t>
  </si>
  <si>
    <t>12. Minimalizacja wbudowanej oraz operacyjnej energii w systemach energetycznych i powiązanych instalacjach.</t>
  </si>
  <si>
    <t>13. W nowym budownictwie minimalizacja pierwotnych i nieodnawialych materiałów oraz wspieranie wykorzystania materiałów z odzysku i recyklingu.</t>
  </si>
  <si>
    <t>14. W nowym budownictwie minimalizacja pierwotnych i nieodnawialych materiałów oraz wspieranie wykorzystania materiałów z odzysku i recyklingu.</t>
  </si>
  <si>
    <t>French</t>
  </si>
  <si>
    <t>Ce dossier est en cours d'élaboration par une douzaine de collègues de l'iiSBE et d'autres collègues de plusieurs pays d'Europe centrale qui s'intéressent à la reconstruction durable de l'Ukraine. Le dossier est destiné à fournir aux organisations plus proches de la scène un moyen de décrire les dommages causés par les activités de guerre et les approches de la reconstruction d'une manière simplifiée.
Le fichier est structuré de manière à pouvoir également être utilisé pour caractériser les dommages causés par d'autres facteurs, tels que les inondations, les tempêtes, les incendies et les tremblements de terre. Le fichier sera lié à une version des outils iiSBE conçus pour établir des objectifs de performance de durabilité pour le quartier (SNTool) ou les bâtiments (SBTool).</t>
  </si>
  <si>
    <t>Cliquez sur 1, 2 ou 3 en haut à gauche pour voir différents niveaux de détails</t>
  </si>
  <si>
    <t>Sol et site</t>
  </si>
  <si>
    <t>Utilités et services publics 1</t>
  </si>
  <si>
    <t>Utilités et services publics 2</t>
  </si>
  <si>
    <t>Transports publics et privés</t>
  </si>
  <si>
    <t>Maisons et logements</t>
  </si>
  <si>
    <t>Autres structures bâties</t>
  </si>
  <si>
    <t>Construire des composants et des assemblages</t>
  </si>
  <si>
    <t>Systèmes techniques pour bâtiments</t>
  </si>
  <si>
    <t>commentaires</t>
  </si>
  <si>
    <t>Voir les actions et les priorités pour les systèmes spécifiques ci-dessous</t>
  </si>
  <si>
    <t>Niveau de dégâts
 (sélectionnez-en un par cellule)</t>
  </si>
  <si>
    <t>Pourcentage affecté</t>
  </si>
  <si>
    <t>Système ou installation</t>
  </si>
  <si>
    <t>Évaluations des dommages pour une reconstruction durable en Ukraine</t>
  </si>
  <si>
    <t>Objectifs de durabilité pertinents</t>
  </si>
  <si>
    <t>Degats causes</t>
  </si>
  <si>
    <t>Action requise</t>
  </si>
  <si>
    <t>Facteurs causaux</t>
  </si>
  <si>
    <t>Facteurs immédiats</t>
  </si>
  <si>
    <t>Dommages causés par une action militaire</t>
  </si>
  <si>
    <t>Sélectionnez la langue pour le texte de base</t>
  </si>
  <si>
    <t>Démolition pour élimination</t>
  </si>
  <si>
    <t>Démontage pour réutilisation</t>
  </si>
  <si>
    <t>Purification / Décontamination</t>
  </si>
  <si>
    <t>Petites réparations / remise en état</t>
  </si>
  <si>
    <t>Réparations / assainissement modérés</t>
  </si>
  <si>
    <t>Reconstruction majeure / assainissement</t>
  </si>
  <si>
    <t>Modernisation des systèmes énergétiques</t>
  </si>
  <si>
    <t>Mise à niveau majeure du système énergétique</t>
  </si>
  <si>
    <t>Reconstruire sur la même empreinte</t>
  </si>
  <si>
    <t>Reconstruire sur un nouveau site</t>
  </si>
  <si>
    <t>1. Geler les nouvelles constructions dans les zones vulnérables à l'élévation du niveau de la mer, aux inondations fluviales, aux tempêtes de vent, à la sécheresse ou aux incendies de forêt.</t>
  </si>
  <si>
    <t>2. Veiller à ce que les zones urbaines minimisent les futurs dommages causés par les impacts du changement climatique, les tremblements de terre ou les actions militaires</t>
  </si>
  <si>
    <t>3. Conserver et mettre en valeur les zones de valeur écologique ou agricole</t>
  </si>
  <si>
    <t>4. Conserver les zones du patrimoine urbain, les bâtiments et les monuments</t>
  </si>
  <si>
    <t>5. Réduire l'effet d'îlot de chaleur urbain grâce à la végétation, aux parcs et aux forêts urbaines</t>
  </si>
  <si>
    <t>6. Veiller à ce que les logements, les équipements publics et les systèmes de services publics soient en mesure de fonctionner à des niveaux de performance fonctionnels et énergétiques optimaux</t>
  </si>
  <si>
    <t>7. Veiller à ce que le logement, les équipements publics et les services publics satisfassent les besoins physiques et sociaux et favorisent l'équité économique</t>
  </si>
  <si>
    <t>8. Minimiser les coûts d'investissement du cycle de vie du logement, des installations publiques et des services publics</t>
  </si>
  <si>
    <t>9. Établir des grappes de divers bâtiments existants dans des zones de synergie qui équilibrent les excédents et les déficits d'énergie et d'eau.</t>
  </si>
  <si>
    <t>10. Passer des transports privés aux transports publics pour préserver les terres et améliorer la qualité de l'air</t>
  </si>
  <si>
    <t>11. Donner la priorité à l'approvisionnement en énergie propre avec des énergies renouvelables et zéro utilisation de combustibles fossiles</t>
  </si>
  <si>
    <t>12. Minimiser l'énergie intrinsèque et de fonctionnement de toutes les installations et équipements consommateurs d'énergie</t>
  </si>
  <si>
    <t>13. Minimiser l'utilisation de matériaux non renouvelables dans les nouvelles constructions et utiliser efficacement les matériaux récupérés pour les réutiliser ou les recycler</t>
  </si>
  <si>
    <t>14. Minimiser l'utilisation de matériaux non renouvelables dans les nouvelles constructions et utiliser efficacement les matériaux récupérés pour les réutiliser ou les recycler</t>
  </si>
  <si>
    <t>Le niveau de la mer monte</t>
  </si>
  <si>
    <t>Inondations fluviales / fortes pluies</t>
  </si>
  <si>
    <t>Ouragan / cyclone</t>
  </si>
  <si>
    <t>Îlot de chaleur urbain</t>
  </si>
  <si>
    <t>Accidents chimiques ou radiologiques</t>
  </si>
  <si>
    <t>Sécheresse</t>
  </si>
  <si>
    <t>Incendies</t>
  </si>
  <si>
    <t>Tremblement de terre</t>
  </si>
  <si>
    <t>Dommages causés par les inondations aux structures et au contenu</t>
  </si>
  <si>
    <t>Dommages structurels et causés par l'eau aux structures et au contenu</t>
  </si>
  <si>
    <t>Des températures excessives entraînant des risques pour la santé humaine et des dommages écologiques</t>
  </si>
  <si>
    <t>Menace pour la sécurité des personnes et dommages à long terme pour l'écologie</t>
  </si>
  <si>
    <t>Déstabilisation des fondations et dégâts écologiques</t>
  </si>
  <si>
    <t>Dommages causés par le feu et la fumée aux structures et au contenu ; dommages écologiques</t>
  </si>
  <si>
    <t>Dommages structurels aux structures et au contenu</t>
  </si>
  <si>
    <t>Spanish</t>
  </si>
  <si>
    <t>Tâche: Évaluations des dommages</t>
  </si>
  <si>
    <t>Farklı ayrıntı düzeylerini görmek için sol üstteki 1, 2 veya 3'e tıklayın</t>
  </si>
  <si>
    <t>Toprak ve site</t>
  </si>
  <si>
    <t>Kamu hizmetleri ve hizmetleri 1</t>
  </si>
  <si>
    <t>Kamu hizmetleri ve hizmetleri 2</t>
  </si>
  <si>
    <t>Toplu ve özel ulaşım</t>
  </si>
  <si>
    <t>Evler ve Konut</t>
  </si>
  <si>
    <t>Bina Bileşenleri ve Montajları</t>
  </si>
  <si>
    <t>Binalar için Teknik Sistemler</t>
  </si>
  <si>
    <t>Yorumlar</t>
  </si>
  <si>
    <t>Etkilenen yüzde</t>
  </si>
  <si>
    <t>Sistem veya Tesis</t>
  </si>
  <si>
    <t>Askeri harekâttan kaynaklanan hasar</t>
  </si>
  <si>
    <t>Eylem Gerekli</t>
  </si>
  <si>
    <t>Bertaraf için yıkım</t>
  </si>
  <si>
    <t>Yeniden kullanım için sökme</t>
  </si>
  <si>
    <t>Arıtma / Dekontaminasyon</t>
  </si>
  <si>
    <t>Küçük onarımlar / iyileştirme</t>
  </si>
  <si>
    <t>Orta düzeyde onarım / iyileştirme</t>
  </si>
  <si>
    <t>Görev: Hasar Değerlendirmeleri</t>
  </si>
  <si>
    <t>İlgili sürdürülebilirlik hedefleri</t>
  </si>
  <si>
    <t>1. Deniz seviyesinin yükselmesine, nehir taşkınlarına, fırtınalara, kuraklığa veya orman yangınlarına karşı savunmasız alanlarda yeni inşaatları dondurun.</t>
  </si>
  <si>
    <t>3. Ekolojik veya tarımsal değeri olan alanları koruyun ve geliştirin</t>
  </si>
  <si>
    <t>5. Bitki örtüsü, parklar ve kentsel ormanlar yoluyla kentsel ısı adası etkisini azaltmak</t>
  </si>
  <si>
    <t>7. Konut, kamu tesisleri ve kamu hizmetlerinin fiziksel ve sosyal ihtiyaçları karşılamasını ve ekonomik eşitliği teşvik etmesini sağlayın</t>
  </si>
  <si>
    <t>11. Yenilenebilir kaynaklar ve sıfır fosil yakıt kullanımı ile temiz enerji arzına öncelik verin</t>
  </si>
  <si>
    <t>Nedensel faktörler</t>
  </si>
  <si>
    <t>Kentsel ısı adası</t>
  </si>
  <si>
    <t>Kimyasal veya radyasyon kazaları</t>
  </si>
  <si>
    <t>Kuraklık</t>
  </si>
  <si>
    <t>Orman yangını</t>
  </si>
  <si>
    <t>Deprem</t>
  </si>
  <si>
    <t>Acil Faktörler</t>
  </si>
  <si>
    <t>Yapılara ve içeriklere sel hasarı</t>
  </si>
  <si>
    <t>Temellerin istikrarsızlaştırılması ve ekolojik hasar</t>
  </si>
  <si>
    <t>Este archivo está siendo desarrollado por una docena de iiSBE y otros colegas en varios países de Europa central interesados ​​en la reconstrucción sostenible de Ucrania. El archivo está destinado a proporcionar a las organizaciones más cercanas a la escena una forma de describir el daño de las actividades de guerra y los enfoques para la reconstrucción de manera simplificada.
El archivo está estructurado de una manera que también permitirá que se utilice para caracterizar los daños causados ​​por otros factores, como inundaciones, tormentas de viento, incendios y terremotos. El archivo estará vinculado a una versión de las herramientas iiSBE que están diseñadas para establecer objetivos de desempeño de sostenibilidad para vecindarios (SNTool) o edificios (SBTool).</t>
  </si>
  <si>
    <t>Haga clic en 1, 2 o 3 en la parte superior izquierda para ver diferentes niveles de detalle</t>
  </si>
  <si>
    <t>Utilidades y servicios públicos 1</t>
  </si>
  <si>
    <t>Utilidades y servicios públicos 2</t>
  </si>
  <si>
    <t>Transporte público y privado</t>
  </si>
  <si>
    <t>Casas y Vivienda</t>
  </si>
  <si>
    <t>Otras estructuras construidas</t>
  </si>
  <si>
    <t>Componentes y ensamblajes de construcción</t>
  </si>
  <si>
    <t>Sistemas Técnicos para edificios</t>
  </si>
  <si>
    <t>Comentarios</t>
  </si>
  <si>
    <t>Ver Acciones y Prioridades para sistemas específicos a continuación</t>
  </si>
  <si>
    <t>Porcentaje afectado</t>
  </si>
  <si>
    <t>Evaluaciones de daños para la reconstrucción sostenible en Ucrania</t>
  </si>
  <si>
    <t>Daño causado</t>
  </si>
  <si>
    <t>Daños por acción militar</t>
  </si>
  <si>
    <t>Seleccione el idioma para el texto básico</t>
  </si>
  <si>
    <t>Acción requerida</t>
  </si>
  <si>
    <t>Demolición para eliminación</t>
  </si>
  <si>
    <t>Desmontaje para reutilización</t>
  </si>
  <si>
    <t>Purificación / Descontaminación</t>
  </si>
  <si>
    <t>Reparaciones menores / remediación</t>
  </si>
  <si>
    <t>Reparaciones moderadas / remediación</t>
  </si>
  <si>
    <t>Reconstrucción mayor / remediación</t>
  </si>
  <si>
    <t>Actualizaciones de sistemas de energía</t>
  </si>
  <si>
    <t>Mejora importante del sistema de energía</t>
  </si>
  <si>
    <t>Reconstruir en la misma huella</t>
  </si>
  <si>
    <t>Reconstruir en un sitio nuevo</t>
  </si>
  <si>
    <t>Tarea: Evaluaciones de daños</t>
  </si>
  <si>
    <t>Objetivos de sostenibilidad relevantes</t>
  </si>
  <si>
    <t>1. Congelar la construcción nueva en áreas que son vulnerables al aumento del nivel del mar, inundaciones fluviales, tormentas de viento, sequías o incendios forestales.</t>
  </si>
  <si>
    <t>2. Asegurar que las áreas urbanas minimicen los daños futuros por impactos del cambio climático, terremotos o acciones militares</t>
  </si>
  <si>
    <t>3. Conservar y mejorar áreas de valor ecológico o agrícola</t>
  </si>
  <si>
    <t>4. Conservar los espacios, edificios y monumentos del patrimonio urbano</t>
  </si>
  <si>
    <t>5. Reducir el efecto isla de calor urbano a través de la vegetación, los parques y los bosques urbanos</t>
  </si>
  <si>
    <t>6. Garantizar que las viviendas, las instalaciones públicas y los sistemas de servicios públicos puedan operar a niveles óptimos de rendimiento funcional y energético</t>
  </si>
  <si>
    <t>7. Garantizar que la vivienda, las instalaciones y los servicios públicos satisfagan las necesidades físicas y sociales y promuevan la equidad económica</t>
  </si>
  <si>
    <t>8. Minimizar los costos de capital del ciclo de vida de la vivienda, las instalaciones públicas y los servicios públicos</t>
  </si>
  <si>
    <t>9. Establecer clusters de diversas edificaciones existentes en zonas de sinergia que equilibren excedentes y déficits de energía y agua.</t>
  </si>
  <si>
    <t>10. Cambio del transporte privado al público para conservar la tierra y mejorar la calidad del aire</t>
  </si>
  <si>
    <t>11. Priorizar el suministro de energía limpia con renovables y cero uso de combustibles fósiles</t>
  </si>
  <si>
    <t>12. Minimizar la energía incorporada y operativa de todas las instalaciones y equipos que utilizan energía</t>
  </si>
  <si>
    <t>13. Minimizar el uso de materiales no renovables en construcciones nuevas y hacer un uso efectivo de los materiales recuperados para su reutilización o reciclaje</t>
  </si>
  <si>
    <t>14. Minimizar el uso de materiales no renovables en construcciones nuevas y hacer un uso efectivo de los materiales recuperados para su reutilización o reciclaje</t>
  </si>
  <si>
    <t>Factores casuales</t>
  </si>
  <si>
    <t>Aumento del nivel del mar</t>
  </si>
  <si>
    <t>Inundaciones fluviales/lluvia intensa</t>
  </si>
  <si>
    <t>Huracán / ciclón</t>
  </si>
  <si>
    <t>isla de calor urbana</t>
  </si>
  <si>
    <t>Accidentes químicos o de radiación</t>
  </si>
  <si>
    <t>Sequía</t>
  </si>
  <si>
    <t>Incendio forestal</t>
  </si>
  <si>
    <t>Terremoto</t>
  </si>
  <si>
    <t>Factores inmediatos</t>
  </si>
  <si>
    <t>Daños por inundaciones a estructuras y contenidos</t>
  </si>
  <si>
    <t>Daños estructurales y por agua en estructuras y contenidos</t>
  </si>
  <si>
    <t>Exceso de temperatura que genera riesgos para la salud de los seres humanos y daños ecológicos</t>
  </si>
  <si>
    <t>Amenaza para la seguridad de la vida de los humanos y daño a largo plazo para la ecología</t>
  </si>
  <si>
    <t>Desestabilización de cimientos y daño ecológico</t>
  </si>
  <si>
    <t>Daños por fuego y humo en estructuras y contenidos; daño ecológico</t>
  </si>
  <si>
    <t>Daño estructural a estructuras y contenidos</t>
  </si>
  <si>
    <t>Sistema o Instalación</t>
  </si>
  <si>
    <t>Nivel de daño</t>
  </si>
  <si>
    <t>Suelo y sitio</t>
  </si>
  <si>
    <t>Diese Datei wird derzeit von etwa einem Dutzend iiSBE und anderen Kollegen in mehreren mitteleuropäischen Ländern mit Interesse am nachhaltigen Wiederaufbau der Ukraine entwickelt. Die Akte soll ortsnahen Organisationen eine vereinfachte Beschreibung der Schäden aus Kriegshandlungen und Ansätzen für den Wiederaufbau an die Hand geben.
Die Datei ist so strukturiert, dass sie auch zur Charakterisierung von Schäden verwendet werden kann, die durch andere Faktoren wie Überschwemmungen, Stürme, Feuer und Erdbeben verursacht wurden. Die Datei wird mit einer Version der iiSBE-Tools verknüpft, die darauf ausgelegt sind, Nachhaltigkeitsleistungsziele für Nachbarschaften (SNTool) oder Gebäude (SBTool) festzulegen.</t>
  </si>
  <si>
    <t>Klicken Sie oben links auf 1, 2 oder 3, um verschiedene Detailebenen anzuzeigen</t>
  </si>
  <si>
    <t>Boden und Standort</t>
  </si>
  <si>
    <t>Öffentliche Einrichtungen und Dienstleistungen 1</t>
  </si>
  <si>
    <t>Öffentliche Einrichtungen und Dienstleistungen 2</t>
  </si>
  <si>
    <t>Öffentliche und private Verkehrsmittel</t>
  </si>
  <si>
    <t>Häuser und Wohnungen</t>
  </si>
  <si>
    <t>Andere Bauwerke</t>
  </si>
  <si>
    <t>Bauteile und Baugruppen</t>
  </si>
  <si>
    <t>Technische Systeme für Gebäude</t>
  </si>
  <si>
    <t>Kommentare</t>
  </si>
  <si>
    <t>Siehe Aktionen und Prioritäten für spezifische Systeme weiter unten</t>
  </si>
  <si>
    <t>Prozent betroffen</t>
  </si>
  <si>
    <t>System oder Einrichtung</t>
  </si>
  <si>
    <t>Schadensgutachten für nachhaltigen Wiederaufbau in der Ukraine</t>
  </si>
  <si>
    <t>Verursachter Schaden</t>
  </si>
  <si>
    <t>Sprache für Basistext auswählen</t>
  </si>
  <si>
    <t>Handlung erforderlich</t>
  </si>
  <si>
    <t>Abriss zur Entsorgung</t>
  </si>
  <si>
    <t>Demontage zur Wiederverwendung</t>
  </si>
  <si>
    <t>Reinigung / Dekontamination</t>
  </si>
  <si>
    <t>Kleinere Reparaturen / Sanierungen</t>
  </si>
  <si>
    <t>Moderate Reparaturen / Sanierungen</t>
  </si>
  <si>
    <t>Großer Umbau / Sanierung</t>
  </si>
  <si>
    <t>Modernisierung von Energiesystemen</t>
  </si>
  <si>
    <t>Große Modernisierung des Energiesystems</t>
  </si>
  <si>
    <t>Wiederaufbau auf gleicher Grundfläche</t>
  </si>
  <si>
    <t>Neuaufbau auf neuer Seite</t>
  </si>
  <si>
    <t>Aufgabe: Schadensgutachten</t>
  </si>
  <si>
    <t>Relevante Nachhaltigkeitsziele</t>
  </si>
  <si>
    <t>1. Stoppen Sie Neubauten in Gebieten, die anfällig für Meeresspiegelanstieg, Flussüberschwemmungen, Stürme, Dürre oder Waldbrände sind.</t>
  </si>
  <si>
    <t>2. Sicherstellen, dass städtische Gebiete künftige Schäden durch die Auswirkungen des Klimawandels, Erdbeben oder Militäraktionen minimieren</t>
  </si>
  <si>
    <t>3. Gebiete von ökologischem oder landwirtschaftlichem Wert erhalten und verbessern</t>
  </si>
  <si>
    <t>4. Stadterbegebiete, Gebäude und Denkmäler erhalten</t>
  </si>
  <si>
    <t>5. Verringerung des städtischen Wärmeinseleffekts durch Vegetation, Parks und städtische Wälder</t>
  </si>
  <si>
    <t>6. Stellen Sie sicher, dass Wohnungen, öffentliche Einrichtungen und Versorgungssysteme auf optimalem Funktions- und Energieleistungsniveau betrieben werden können</t>
  </si>
  <si>
    <t>7. Stellen Sie sicher, dass Wohnungen, öffentliche Einrichtungen und Versorgungseinrichtungen den physischen und sozialen Bedürfnissen entsprechen, und fördern Sie die wirtschaftliche Gerechtigkeit</t>
  </si>
  <si>
    <t>8. Minimieren Sie die Lebenszyklus-Kapitalkosten von Wohnungen, öffentlichen Einrichtungen und Versorgungsunternehmen</t>
  </si>
  <si>
    <t>9. Cluster diverser Bestandsgebäude in Synergiezonen bilden, die Überschüsse und Defizite bei Energie und Wasser ausgleichen.</t>
  </si>
  <si>
    <t>10. Umstieg vom privaten auf den öffentlichen Verkehr, um Land zu sparen und die Luftqualität zu verbessern</t>
  </si>
  <si>
    <t>11. Priorisieren Sie eine saubere Energieversorgung mit erneuerbaren Energien und den Verzicht auf fossile Brennstoffe</t>
  </si>
  <si>
    <t>12. Minimieren Sie die graue und die Betriebsenergie aller energieverbrauchenden Einrichtungen und Geräte</t>
  </si>
  <si>
    <t>13. Minimieren Sie die Verwendung von nicht erneuerbaren Materialien in Neubauten und nutzen Sie wiedergewonnene Materialien effektiv für die Wiederverwendung oder das Recycling</t>
  </si>
  <si>
    <t>14. Minimieren Sie die Verwendung von nicht erneuerbaren Materialien in Neubauten und nutzen Sie wiedergewonnene Materialien effektiv zur Wiederverwendung oder zum Recycling</t>
  </si>
  <si>
    <t>Kausale Faktoren</t>
  </si>
  <si>
    <t>Meeresspiegel steigt</t>
  </si>
  <si>
    <t>Flusshochwasser / Starkregen</t>
  </si>
  <si>
    <t>Hurrikan / Zyklon</t>
  </si>
  <si>
    <t>Städtische Wärmeinsel</t>
  </si>
  <si>
    <t>Chemie- oder Strahlenunfälle</t>
  </si>
  <si>
    <t>Dürre</t>
  </si>
  <si>
    <t>Lauffeuer</t>
  </si>
  <si>
    <t>Erdbeben</t>
  </si>
  <si>
    <t>Unmittelbare Faktoren</t>
  </si>
  <si>
    <t>Hochwasserschäden an Gebäuden und Inhalten</t>
  </si>
  <si>
    <t>Bau- und Wasserschäden an Bauwerken und Inhalten</t>
  </si>
  <si>
    <t>Übertemperaturen, die zu Gesundheitsgefahren für Menschen und Umweltschäden führen</t>
  </si>
  <si>
    <t>Lebensgefahr für Menschen und langfristige Schädigung der Ökologie</t>
  </si>
  <si>
    <t>Destabilisierung von Fundamenten und ökologische Schäden</t>
  </si>
  <si>
    <t>Brand- und Rauchschäden an Gebäuden und Inhalten; ökologische Schäden</t>
  </si>
  <si>
    <t>Strukturelle Schäden an Strukturen und Inhalten</t>
  </si>
  <si>
    <t>Interior walls</t>
  </si>
  <si>
    <t>Stairs</t>
  </si>
  <si>
    <t>Fire control systems</t>
  </si>
  <si>
    <t>Lighting systems</t>
  </si>
  <si>
    <t>HVAC Control systems</t>
  </si>
  <si>
    <t>Mechanical HVAC and ducting</t>
  </si>
  <si>
    <t>Energy storage systems</t>
  </si>
  <si>
    <t>Schadensgrad  (eine pro Zelle auswählen)</t>
  </si>
  <si>
    <t>Building landscaping</t>
  </si>
  <si>
    <t>Daycare facility</t>
  </si>
  <si>
    <t>Retail goods shop</t>
  </si>
  <si>
    <t>Звалища</t>
  </si>
  <si>
    <t>Поверхневе сміття</t>
  </si>
  <si>
    <t>Верхній грунт</t>
  </si>
  <si>
    <t>Місцева атмосфера</t>
  </si>
  <si>
    <t>Підземні води / водоносний горизонт</t>
  </si>
  <si>
    <t>Природні поверхневі води</t>
  </si>
  <si>
    <t>Природний ландшафт і рослинність</t>
  </si>
  <si>
    <t>Парки та формальний ландшафт</t>
  </si>
  <si>
    <t>Міські дерева</t>
  </si>
  <si>
    <t>Панелі сонячних батарей</t>
  </si>
  <si>
    <t>Вітрові турбіни</t>
  </si>
  <si>
    <t>Сховище енергії</t>
  </si>
  <si>
    <t>Резервуари міського газу</t>
  </si>
  <si>
    <t>Первинна (високовольтна) електропередача</t>
  </si>
  <si>
    <t>Вторинний розподіл електроенергії</t>
  </si>
  <si>
    <t>Місцевий розподіл електроенергії</t>
  </si>
  <si>
    <t>Зарядні станції постійного струму</t>
  </si>
  <si>
    <t>Система вуличного освітлення</t>
  </si>
  <si>
    <t>Волоконно-оптична телекомунікаційна мережа</t>
  </si>
  <si>
    <t>Док або гавань</t>
  </si>
  <si>
    <t>Теплова установка для централізованого теплопостачання</t>
  </si>
  <si>
    <t>Комбінована система водопостачання та каналізації</t>
  </si>
  <si>
    <t>Водоочисна та насосна станція</t>
  </si>
  <si>
    <t>Зливова каналізація</t>
  </si>
  <si>
    <t>Сантехнічна каналізація</t>
  </si>
  <si>
    <t>Перекачування та розподіл газу</t>
  </si>
  <si>
    <t>Накачування та розподіл водню</t>
  </si>
  <si>
    <t>Система централізованого теплопостачання</t>
  </si>
  <si>
    <t>Оптоволоконний телеком</t>
  </si>
  <si>
    <t>Системи сигналізації для системи наземних поїздів</t>
  </si>
  <si>
    <t>Системи сигналізації для наземного руху</t>
  </si>
  <si>
    <t>Підземний поїзд</t>
  </si>
  <si>
    <t>Міжміський вокзал</t>
  </si>
  <si>
    <t>Місцева станція легкої залізниці</t>
  </si>
  <si>
    <t>шосе</t>
  </si>
  <si>
    <t>Магістральна дорога</t>
  </si>
  <si>
    <t>Колекторна дорога</t>
  </si>
  <si>
    <t>Провулок або місцева дорога</t>
  </si>
  <si>
    <t>Зовнішня парковка</t>
  </si>
  <si>
    <t>Велосипедні станції</t>
  </si>
  <si>
    <t>Пішохідні доріжки</t>
  </si>
  <si>
    <t>Канал</t>
  </si>
  <si>
    <t>Окремі будинки</t>
  </si>
  <si>
    <t>Будинки довгострокового догляду</t>
  </si>
  <si>
    <t>Громадські будівлі (бібліотека, суд тощо)</t>
  </si>
  <si>
    <t>Місцевий заклад охорони здоров'я</t>
  </si>
  <si>
    <t>Місцева лікарня</t>
  </si>
  <si>
    <t>Велика / спеціалізована лікарня</t>
  </si>
  <si>
    <t>Заклад денного догляду</t>
  </si>
  <si>
    <t>Початкова школа</t>
  </si>
  <si>
    <t>Вища школа</t>
  </si>
  <si>
    <t>Коледж або університет</t>
  </si>
  <si>
    <t>Офісна будівля =&lt; 3 поверхи</t>
  </si>
  <si>
    <t>Офісна будівля 4+ поверхи</t>
  </si>
  <si>
    <t>Готель</t>
  </si>
  <si>
    <t>Торговий центр</t>
  </si>
  <si>
    <t>Продовольчий магазин</t>
  </si>
  <si>
    <t>Роздрібний магазин товарів</t>
  </si>
  <si>
    <t>Ресторан/кафе</t>
  </si>
  <si>
    <t>Автобусне депо</t>
  </si>
  <si>
    <t>Паркувальні споруди</t>
  </si>
  <si>
    <t>Спортивні майданчики</t>
  </si>
  <si>
    <t>Громадський сад(и)</t>
  </si>
  <si>
    <t>Кладовища</t>
  </si>
  <si>
    <t>Пам'ятники</t>
  </si>
  <si>
    <t>Мости</t>
  </si>
  <si>
    <t>Пішохідні мости</t>
  </si>
  <si>
    <t>Ємності для зберігання рідини</t>
  </si>
  <si>
    <t>Складське приміщення</t>
  </si>
  <si>
    <t>Об'єкти промисловості</t>
  </si>
  <si>
    <t>Легке виробництво</t>
  </si>
  <si>
    <t>Важке виробництво</t>
  </si>
  <si>
    <t>Конструкційне бетонне сміття</t>
  </si>
  <si>
    <t>Змішане структурне сміття</t>
  </si>
  <si>
    <t>Зовнішнє огородження будівлі</t>
  </si>
  <si>
    <t>Покрівельні системи</t>
  </si>
  <si>
    <t>Системи зовнішнього скління</t>
  </si>
  <si>
    <t>Балкони</t>
  </si>
  <si>
    <t>Міжкімнатні стіни</t>
  </si>
  <si>
    <t>Внутрішня обробка</t>
  </si>
  <si>
    <t>сходи</t>
  </si>
  <si>
    <t>Озеленення будівлі</t>
  </si>
  <si>
    <t>Центральний котел</t>
  </si>
  <si>
    <t>Механічні системи опалення, вентиляції та вентиляції</t>
  </si>
  <si>
    <t>Теплові насоси</t>
  </si>
  <si>
    <t>Системи накопичення енергії</t>
  </si>
  <si>
    <t>Сантехніка</t>
  </si>
  <si>
    <t>Електричний</t>
  </si>
  <si>
    <t>Системи освітлення</t>
  </si>
  <si>
    <t>Системи управління ОВК</t>
  </si>
  <si>
    <t>Системи керування вогнем</t>
  </si>
  <si>
    <t>Системи зв'язку</t>
  </si>
  <si>
    <t>Ліфти</t>
  </si>
  <si>
    <t>Ескалатори</t>
  </si>
  <si>
    <t>Стаціонарне обладнання та прилади</t>
  </si>
  <si>
    <t>Składowiska odpadów</t>
  </si>
  <si>
    <t>Gruz na powierzchni</t>
  </si>
  <si>
    <t>Górna gleba</t>
  </si>
  <si>
    <t>Lokalna atmosfera</t>
  </si>
  <si>
    <t>Zwierciadło wody / warstwa wodonośna</t>
  </si>
  <si>
    <t>Naturalna woda powierzchniowa</t>
  </si>
  <si>
    <t>Naturalny krajobraz i roślinność</t>
  </si>
  <si>
    <t>Parki i formalny krajobraz</t>
  </si>
  <si>
    <t>Drzewa miejskie</t>
  </si>
  <si>
    <t>Tablice paneli słonecznych</t>
  </si>
  <si>
    <t>Turbiny wiatrowe</t>
  </si>
  <si>
    <t>Magazyn energii</t>
  </si>
  <si>
    <t>Miejskie zbiorniki magazynowe gazu</t>
  </si>
  <si>
    <t>Pierwotna (wysokiego napięcia) transmisja elektryczna</t>
  </si>
  <si>
    <t>Wtórna dystrybucja elektryczna</t>
  </si>
  <si>
    <t>Lokalna dystrybucja elektryczna</t>
  </si>
  <si>
    <t>Stacje ładowania DC</t>
  </si>
  <si>
    <t>System oświetlenia ulicznego</t>
  </si>
  <si>
    <t>Światłowodowa sieć telekomunikacyjna</t>
  </si>
  <si>
    <t>Dok lub port</t>
  </si>
  <si>
    <t>Ciepłownia dla sieci ciepłowniczych</t>
  </si>
  <si>
    <t>Połączony system wodno-kanalizacyjny</t>
  </si>
  <si>
    <t>Stacja uzdatniania i pompowania wody</t>
  </si>
  <si>
    <t>Kanalizacja burzowa</t>
  </si>
  <si>
    <t>Kanalizacja sanitarna</t>
  </si>
  <si>
    <t>Pompowanie i dystrybucja gazu</t>
  </si>
  <si>
    <t>Pompowanie i dystrybucja wodoru</t>
  </si>
  <si>
    <t>System dystrybucji ciepła sieciowego</t>
  </si>
  <si>
    <t>Telekomunikacja światłowodowa</t>
  </si>
  <si>
    <t>Systemy sygnalizacji dla systemu pociągów naziemnych</t>
  </si>
  <si>
    <t>Systemy sygnalizacji dla naziemnego ruchu drogowego</t>
  </si>
  <si>
    <t>Pociąg metra</t>
  </si>
  <si>
    <t>Dworzec międzymiastowy</t>
  </si>
  <si>
    <t>Lokalna stacja lekkiej kolei</t>
  </si>
  <si>
    <t>Autostrada</t>
  </si>
  <si>
    <t>Droga arterii</t>
  </si>
  <si>
    <t>Droga kolektora</t>
  </si>
  <si>
    <t>Pas lub droga lokalna</t>
  </si>
  <si>
    <t>Parking zewnętrzny</t>
  </si>
  <si>
    <t>Stacje rowerowe</t>
  </si>
  <si>
    <t>Ścieżki</t>
  </si>
  <si>
    <t>Kanał</t>
  </si>
  <si>
    <t>Domy jednorodzinne jednorodzinne</t>
  </si>
  <si>
    <t>Domy opieki długoterminowej</t>
  </si>
  <si>
    <t>Budynek użyteczności publicznej (biblioteka, sąd itp.)</t>
  </si>
  <si>
    <t>Lokalna placówka zdrowia</t>
  </si>
  <si>
    <t>Lokalny szpital</t>
  </si>
  <si>
    <t>Duży/specjalistyczny szpital</t>
  </si>
  <si>
    <t>Placówka opieki dziennej</t>
  </si>
  <si>
    <t>Szkoła Podstawowa</t>
  </si>
  <si>
    <t>Liceum</t>
  </si>
  <si>
    <t>Kolegium lub uniwersytet</t>
  </si>
  <si>
    <t>Budynek biurowy =&lt; 3 kondygnacje</t>
  </si>
  <si>
    <t>Budynek biurowy 4+ kondygnacje</t>
  </si>
  <si>
    <t>Centrum handlowe</t>
  </si>
  <si>
    <t>Sklep spożywczy / ogólnospożywczy</t>
  </si>
  <si>
    <t>Sklep z towarami detalicznymi</t>
  </si>
  <si>
    <t>Restauracja / kawiarnia</t>
  </si>
  <si>
    <t>Zajezdnia autobusowa</t>
  </si>
  <si>
    <t>Konstrukcje parkingowe</t>
  </si>
  <si>
    <t>Boiska sportowe</t>
  </si>
  <si>
    <t>Ogród(-y) wspólnotowy(-e)</t>
  </si>
  <si>
    <t>Cmentarze</t>
  </si>
  <si>
    <t>Zabytki</t>
  </si>
  <si>
    <t>Mosty</t>
  </si>
  <si>
    <t>Kładki</t>
  </si>
  <si>
    <t>Zbiorniki do przechowywania cieczy</t>
  </si>
  <si>
    <t>Obiekt magazynowy</t>
  </si>
  <si>
    <t>Obiekty przemysłowe</t>
  </si>
  <si>
    <t>Lekka produkcja</t>
  </si>
  <si>
    <t>Ciężka produkcja</t>
  </si>
  <si>
    <t>Gruz z betonu strukturalnego</t>
  </si>
  <si>
    <t>Mieszane gruz budowlany</t>
  </si>
  <si>
    <t>Zewnętrzna koperta budynku</t>
  </si>
  <si>
    <t>Systemy dachowe</t>
  </si>
  <si>
    <t>Systemy przeszkleń zewnętrznych</t>
  </si>
  <si>
    <t>Balkony</t>
  </si>
  <si>
    <t>Ściany wewnętrzne</t>
  </si>
  <si>
    <t>Wykończenia wnętrz</t>
  </si>
  <si>
    <t>Schody</t>
  </si>
  <si>
    <t>Architektura krajobrazu</t>
  </si>
  <si>
    <t>Kocioł centralny</t>
  </si>
  <si>
    <t>Mechaniczne HVAC i kanały</t>
  </si>
  <si>
    <t>Pompy ciepła</t>
  </si>
  <si>
    <t>Systemy magazynowania energii</t>
  </si>
  <si>
    <t>Instalacja wodociągowa</t>
  </si>
  <si>
    <t>Elektryczny</t>
  </si>
  <si>
    <t>Systemy oświetleniowe</t>
  </si>
  <si>
    <t>Systemy sterowania HVAC</t>
  </si>
  <si>
    <t>Systemy kierowania ogniem</t>
  </si>
  <si>
    <t>Systemy porozumiewania się</t>
  </si>
  <si>
    <t>Windy</t>
  </si>
  <si>
    <t>Schody ruchome</t>
  </si>
  <si>
    <t>Stały sprzęt i urządzenia</t>
  </si>
  <si>
    <t>Décharges</t>
  </si>
  <si>
    <t>Débris de surface</t>
  </si>
  <si>
    <t>Terre végétale</t>
  </si>
  <si>
    <t>Ambiance locale</t>
  </si>
  <si>
    <t>Nappe phréatique / aquifère</t>
  </si>
  <si>
    <t>Eau de surface naturelle</t>
  </si>
  <si>
    <t>Paysage naturel et végétation</t>
  </si>
  <si>
    <t>Parcs et paysage formel</t>
  </si>
  <si>
    <t>Arbres urbains</t>
  </si>
  <si>
    <t>Panneaux solaires</t>
  </si>
  <si>
    <t>Éoliennes</t>
  </si>
  <si>
    <t>Installation de stockage d'énergie</t>
  </si>
  <si>
    <t>Réservoirs de stockage de gaz de ville</t>
  </si>
  <si>
    <t>Transmission électrique primaire (haute tension)</t>
  </si>
  <si>
    <t>Distribution électrique secondaire</t>
  </si>
  <si>
    <t>Distribution électrique locale</t>
  </si>
  <si>
    <t>Bornes de recharge CC</t>
  </si>
  <si>
    <t>Système d'éclairage public</t>
  </si>
  <si>
    <t>Réseau télécom fibre optique</t>
  </si>
  <si>
    <t>Quai ou port</t>
  </si>
  <si>
    <t>Installation de chauffage pour le chauffage urbain</t>
  </si>
  <si>
    <t>Système combiné d'eau et d'égouts</t>
  </si>
  <si>
    <t>Station de traitement et de pompage de l'eau</t>
  </si>
  <si>
    <t>Égout pluvial</t>
  </si>
  <si>
    <t>Égout sanitaire</t>
  </si>
  <si>
    <t>Pompage et distribution de gaz</t>
  </si>
  <si>
    <t>Pompage et distribution d'hydrogène</t>
  </si>
  <si>
    <t>Système de distribution de chauffage urbain</t>
  </si>
  <si>
    <t>Télécom fibre optique</t>
  </si>
  <si>
    <t>Systèmes de signalisation pour le système de train de surface</t>
  </si>
  <si>
    <t>Systèmes de signalisation pour le trafic routier de surface</t>
  </si>
  <si>
    <t>Métro</t>
  </si>
  <si>
    <t>Gare interurbaine</t>
  </si>
  <si>
    <t>Station de tramway locale</t>
  </si>
  <si>
    <t>Autoroute</t>
  </si>
  <si>
    <t>Route artérielle</t>
  </si>
  <si>
    <t>Route collectrice</t>
  </si>
  <si>
    <t>Voie ou route locale</t>
  </si>
  <si>
    <t>Stationnement extérieur</t>
  </si>
  <si>
    <t>Stations de vélos</t>
  </si>
  <si>
    <t>Sentiers</t>
  </si>
  <si>
    <t>Maisons individuelles</t>
  </si>
  <si>
    <t>Foyers de soins de longue durée</t>
  </si>
  <si>
    <t>Bâtiment public (bibliothèque, tribunal, etc.)</t>
  </si>
  <si>
    <t>Établissement de santé local</t>
  </si>
  <si>
    <t>Hôpital local</t>
  </si>
  <si>
    <t>Grand hôpital / spécialisé</t>
  </si>
  <si>
    <t>Garderie</t>
  </si>
  <si>
    <t>École primaire</t>
  </si>
  <si>
    <t>Lycée</t>
  </si>
  <si>
    <t>Collège ou université</t>
  </si>
  <si>
    <t>Immeuble de bureaux =&lt; 3 étages</t>
  </si>
  <si>
    <t>Immeuble de bureaux 4+ étages</t>
  </si>
  <si>
    <t>Hôtel</t>
  </si>
  <si>
    <t>Centre commercial</t>
  </si>
  <si>
    <t>Alimentation / supérette</t>
  </si>
  <si>
    <t>Magasin de vente au détail</t>
  </si>
  <si>
    <t>Restaurant/café</t>
  </si>
  <si>
    <t>Dépôt de bus</t>
  </si>
  <si>
    <t>Structures de stationnement</t>
  </si>
  <si>
    <t>Terrains de sport</t>
  </si>
  <si>
    <t>Jardin(s) communautaire(s)</t>
  </si>
  <si>
    <t>Cimetières</t>
  </si>
  <si>
    <t>Les monuments</t>
  </si>
  <si>
    <t>Des ponts</t>
  </si>
  <si>
    <t>Passerelles</t>
  </si>
  <si>
    <t>Réservoirs pour le stockage de liquide</t>
  </si>
  <si>
    <t>Entrepôt</t>
  </si>
  <si>
    <t>Installations industrielles</t>
  </si>
  <si>
    <t>Fabrication légère</t>
  </si>
  <si>
    <t>Fabrication lourde</t>
  </si>
  <si>
    <t>Débris de béton de structure</t>
  </si>
  <si>
    <t>Débris structurels mixtes</t>
  </si>
  <si>
    <t>Enveloppe extérieure du bâtiment</t>
  </si>
  <si>
    <t>Systèmes de toiture</t>
  </si>
  <si>
    <t>Systèmes de vitrage extérieur</t>
  </si>
  <si>
    <t>Balcons</t>
  </si>
  <si>
    <t>Murs intérieurs</t>
  </si>
  <si>
    <t>Finitions intérieures</t>
  </si>
  <si>
    <t>Escaliers</t>
  </si>
  <si>
    <t>Aménagement paysager du bâtiment</t>
  </si>
  <si>
    <t>Chaudière centrale</t>
  </si>
  <si>
    <t>CVC mécanique et conduits</t>
  </si>
  <si>
    <t>Pompes à chaleur</t>
  </si>
  <si>
    <t>Systèmes de stockage d'énergie</t>
  </si>
  <si>
    <t>Plomberie</t>
  </si>
  <si>
    <t>Électrique</t>
  </si>
  <si>
    <t>Systèmes d'éclairage</t>
  </si>
  <si>
    <t>Systèmes de contrôle CVC</t>
  </si>
  <si>
    <t>Systèmes de conduite de tir</t>
  </si>
  <si>
    <t>Systèmes de communication</t>
  </si>
  <si>
    <t>Ascenseurs</t>
  </si>
  <si>
    <t>Escaliers mécaniques</t>
  </si>
  <si>
    <t>Matériel fixe et électroménager</t>
  </si>
  <si>
    <t>çöplükler</t>
  </si>
  <si>
    <t>vertederos</t>
  </si>
  <si>
    <t>Deponien</t>
  </si>
  <si>
    <t>Yüzey enkazı</t>
  </si>
  <si>
    <t>escombros superficiales</t>
  </si>
  <si>
    <t>Oberflächenschutt</t>
  </si>
  <si>
    <t>üst toprak</t>
  </si>
  <si>
    <t>tierra superior</t>
  </si>
  <si>
    <t>Oberer Boden</t>
  </si>
  <si>
    <t>Yerel atmosfer</t>
  </si>
  <si>
    <t>Ambiente local</t>
  </si>
  <si>
    <t>Lokale Atmosphäre</t>
  </si>
  <si>
    <t>Su tablası / akifer</t>
  </si>
  <si>
    <t>Nivel freático / acuífero</t>
  </si>
  <si>
    <t>Grundwasserspiegel / Grundwasserleiter</t>
  </si>
  <si>
    <t>Doğal yüzey suyu</t>
  </si>
  <si>
    <t>Agua superficial natural</t>
  </si>
  <si>
    <t>Natürliches Oberflächenwasser</t>
  </si>
  <si>
    <t>Doğal peyzaj ve bitki örtüsü</t>
  </si>
  <si>
    <t>Paisaje natural y vegetación.</t>
  </si>
  <si>
    <t>Natürliche Landschaft und Vegetation</t>
  </si>
  <si>
    <t>Parklar ve resmi peyzaj</t>
  </si>
  <si>
    <t>Parques y paisaje formal</t>
  </si>
  <si>
    <t>Parks und formelle Landschaft</t>
  </si>
  <si>
    <t>Kent ağaçları</t>
  </si>
  <si>
    <t>Arboles urbanos</t>
  </si>
  <si>
    <t>Städtische Bäume</t>
  </si>
  <si>
    <t>Güneş paneli dizileri</t>
  </si>
  <si>
    <t>Arreglos de paneles solares</t>
  </si>
  <si>
    <t>Solarpanel-Arrays</t>
  </si>
  <si>
    <t>Rüzgar türbinleri</t>
  </si>
  <si>
    <t>Turbinas de viento</t>
  </si>
  <si>
    <t>Windräder</t>
  </si>
  <si>
    <t>Enerji depolama tesisi</t>
  </si>
  <si>
    <t>Instalación de almacenamiento de energía</t>
  </si>
  <si>
    <t>Energiespeicher</t>
  </si>
  <si>
    <t>Şehir Gaz depolama tankları</t>
  </si>
  <si>
    <t>Tanques de almacenamiento de Gas Ciudad</t>
  </si>
  <si>
    <t>Speicher für Stadtgas</t>
  </si>
  <si>
    <t>Birincil (yüksek voltajlı) elektrik iletimi</t>
  </si>
  <si>
    <t>Transmisión eléctrica primaria (de alto voltaje)</t>
  </si>
  <si>
    <t>Elektrische Primärübertragung (Hochspannung).</t>
  </si>
  <si>
    <t>İkincil elektrik dağıtımı</t>
  </si>
  <si>
    <t>Distribución eléctrica secundaria</t>
  </si>
  <si>
    <t>Sekundäre elektrische Verteilung</t>
  </si>
  <si>
    <t>Yerel elektrik dağıtımı</t>
  </si>
  <si>
    <t>Distribución eléctrica local</t>
  </si>
  <si>
    <t>Lokale elektrische Verteilung</t>
  </si>
  <si>
    <t>DC şarj istasyonları</t>
  </si>
  <si>
    <t>Estaciones de carga de CC</t>
  </si>
  <si>
    <t>DC-Ladestationen</t>
  </si>
  <si>
    <t>Sokak aydınlatma sistemi</t>
  </si>
  <si>
    <t>Sistema de alumbrado público</t>
  </si>
  <si>
    <t>Straßenbeleuchtungssystem</t>
  </si>
  <si>
    <t>Fiber optik telekom ağı</t>
  </si>
  <si>
    <t>Red de telecomunicaciones de fibra óptica</t>
  </si>
  <si>
    <t>Glasfaser-Telekommunikationsnetz</t>
  </si>
  <si>
    <t>Rıhtım veya liman</t>
  </si>
  <si>
    <t>muelle o puerto</t>
  </si>
  <si>
    <t>Dock oder Hafen</t>
  </si>
  <si>
    <t>Bölgesel ısıtma için ısıtma tesisi</t>
  </si>
  <si>
    <t>Planta de calefacción para calefacción urbana</t>
  </si>
  <si>
    <t>Heizwerk für Fernwärme</t>
  </si>
  <si>
    <t>Kombine su ve kanalizasyon sistemi</t>
  </si>
  <si>
    <t>Sistema combinado de agua y alcantarillado</t>
  </si>
  <si>
    <t>Kombiniertes Wasser- und Abwassersystem</t>
  </si>
  <si>
    <t>Su arıtma ve pompa istasyonu</t>
  </si>
  <si>
    <t>Estación de tratamiento y bombeo de agua</t>
  </si>
  <si>
    <t>Wasseraufbereitung und Pumpstation</t>
  </si>
  <si>
    <t>Fırtına kanalizasyonu</t>
  </si>
  <si>
    <t>alcantarillado pluvial</t>
  </si>
  <si>
    <t>Regenwasserkanal</t>
  </si>
  <si>
    <t>sıhhi kanalizasyon</t>
  </si>
  <si>
    <t>Drenaje sanitario</t>
  </si>
  <si>
    <t>Sanitäre Kanalisation</t>
  </si>
  <si>
    <t>Gaz pompalama ve dağıtım</t>
  </si>
  <si>
    <t>Bombeo y distribución de gas</t>
  </si>
  <si>
    <t>Gasförderung und -verteilung</t>
  </si>
  <si>
    <t>Hidrojen pompalama ve dağıtımı</t>
  </si>
  <si>
    <t>Bombeo y distribución de hidrógeno</t>
  </si>
  <si>
    <t>Wasserstoffpumpen und -verteilung</t>
  </si>
  <si>
    <t>Bölgesel ısıtma dağıtım sistemi</t>
  </si>
  <si>
    <t>Sistema de distribución de calefacción urbana</t>
  </si>
  <si>
    <t>Fernwärmeverteilungssystem</t>
  </si>
  <si>
    <t>Fiber optik telekom</t>
  </si>
  <si>
    <t>Telecomunicaciones de fibra óptica</t>
  </si>
  <si>
    <t>Glasfaser-Telekommunikation</t>
  </si>
  <si>
    <t>Yüzey tren sistemi için sinyalizasyon sistemleri</t>
  </si>
  <si>
    <t>Sistemas de señalización para sistema de tren de superficie</t>
  </si>
  <si>
    <t>Signalsysteme für Oberflächenzugsysteme</t>
  </si>
  <si>
    <t>Yüzey karayolu trafiği için sinyalizasyon sistemleri</t>
  </si>
  <si>
    <t>Sistemas de señalización para el tráfico rodado en superficie</t>
  </si>
  <si>
    <t>Signalanlagen für den oberirdischen Straßenverkehr</t>
  </si>
  <si>
    <t>Yeraltı treni</t>
  </si>
  <si>
    <t>Tren subterráneo</t>
  </si>
  <si>
    <t>Untergrund Zug</t>
  </si>
  <si>
    <t>Şehirler arası tren istasyonu</t>
  </si>
  <si>
    <t>estación de tren interurbano</t>
  </si>
  <si>
    <t>Fernbahnhof</t>
  </si>
  <si>
    <t>Yerel hafif raylı sistem istasyonu</t>
  </si>
  <si>
    <t>Estación de tren ligero local</t>
  </si>
  <si>
    <t>Lokale Stadtbahnstation</t>
  </si>
  <si>
    <t>otoyol</t>
  </si>
  <si>
    <t>Carretera</t>
  </si>
  <si>
    <t>Autobahn</t>
  </si>
  <si>
    <t>Anayol</t>
  </si>
  <si>
    <t>Vía arterial</t>
  </si>
  <si>
    <t>Ausfallstraße</t>
  </si>
  <si>
    <t>toplayıcı yol</t>
  </si>
  <si>
    <t>camino colector</t>
  </si>
  <si>
    <t>Sammlerstraße</t>
  </si>
  <si>
    <t>Şerit veya yerel yol</t>
  </si>
  <si>
    <t>Carril o carretera local</t>
  </si>
  <si>
    <t>Lane oder lokale Straße</t>
  </si>
  <si>
    <t>Dış park alanı</t>
  </si>
  <si>
    <t>zona de aparcamiento exterior</t>
  </si>
  <si>
    <t>Parkplatz im Außenbereich</t>
  </si>
  <si>
    <t>Bisiklet istasyonları</t>
  </si>
  <si>
    <t>Estaciones de bicicletas</t>
  </si>
  <si>
    <t>Fahrradstationen</t>
  </si>
  <si>
    <t>patikalar</t>
  </si>
  <si>
    <t>senderos</t>
  </si>
  <si>
    <t>Wanderwege</t>
  </si>
  <si>
    <t>Kanal</t>
  </si>
  <si>
    <t>Tek müstakil evler</t>
  </si>
  <si>
    <t>Viviendas unifamiliares</t>
  </si>
  <si>
    <t>Einzelne Einfamilienhäuser</t>
  </si>
  <si>
    <t>Uzun süreli bakım evleri</t>
  </si>
  <si>
    <t>Hogares de cuidado a largo plazo</t>
  </si>
  <si>
    <t>Langzeitpflegeheime</t>
  </si>
  <si>
    <t>Kamu binası (kütüphane, mahkeme vb.)</t>
  </si>
  <si>
    <t>Edificio público (biblioteca, tribunal, etc.)</t>
  </si>
  <si>
    <t>Öffentliche Gebäude (Bibliothek, Gericht etc.)</t>
  </si>
  <si>
    <t>Yerel sağlık tesisi</t>
  </si>
  <si>
    <t>centro de salud local</t>
  </si>
  <si>
    <t>Lokale Gesundheitseinrichtung</t>
  </si>
  <si>
    <t>Yerel hastane</t>
  </si>
  <si>
    <t>Hospital local</t>
  </si>
  <si>
    <t>Lokales Krankenhaus</t>
  </si>
  <si>
    <t>Büyük / özel hastane</t>
  </si>
  <si>
    <t>Hospital grande/especializado</t>
  </si>
  <si>
    <t>Großes / spezialisiertes Krankenhaus</t>
  </si>
  <si>
    <t>kreş</t>
  </si>
  <si>
    <t>guardería</t>
  </si>
  <si>
    <t>Tagesstätte</t>
  </si>
  <si>
    <t>İlkokul</t>
  </si>
  <si>
    <t>Escuela primaria</t>
  </si>
  <si>
    <t>Grundschule</t>
  </si>
  <si>
    <t>Lise</t>
  </si>
  <si>
    <t>Escuela secundaria</t>
  </si>
  <si>
    <t>Weiterführende Schule</t>
  </si>
  <si>
    <t>Kolej veya üniversite</t>
  </si>
  <si>
    <t>Colegio o universidad</t>
  </si>
  <si>
    <t>College oder Universität</t>
  </si>
  <si>
    <t>Ofis binası =&lt; 3 kat</t>
  </si>
  <si>
    <t>Edificio de oficinas =&lt; 3 plantas</t>
  </si>
  <si>
    <t>Bürogebäude =&lt; 3 Stockwerke</t>
  </si>
  <si>
    <t>Ofis binası 4+ kat</t>
  </si>
  <si>
    <t>Edificio de oficinas 4+ plantas</t>
  </si>
  <si>
    <t>Bürogebäude 4+ Stockwerke</t>
  </si>
  <si>
    <t>Otel</t>
  </si>
  <si>
    <t>Alışveriş Merkezi</t>
  </si>
  <si>
    <t>Centro comercial</t>
  </si>
  <si>
    <t>Einkaufszentrum</t>
  </si>
  <si>
    <t>Yiyecek / market</t>
  </si>
  <si>
    <t>Tienda de comida / conveniencia</t>
  </si>
  <si>
    <t>Lebensmittel- / Convenience-Shop</t>
  </si>
  <si>
    <t>Perakende eşya mağazası</t>
  </si>
  <si>
    <t>tienda de artículos al por menor</t>
  </si>
  <si>
    <t>Einzelhandel Warengeschäft</t>
  </si>
  <si>
    <t>Restoran / kafe</t>
  </si>
  <si>
    <t>Restaurante / cafetería</t>
  </si>
  <si>
    <t>Restaurant / Café</t>
  </si>
  <si>
    <t>Otobüs deposu</t>
  </si>
  <si>
    <t>Estación de autobuses</t>
  </si>
  <si>
    <t>Busbetriebshof</t>
  </si>
  <si>
    <t>Otopark yapıları</t>
  </si>
  <si>
    <t>Estructuras de estacionamiento</t>
  </si>
  <si>
    <t>Parkstrukturen</t>
  </si>
  <si>
    <t>Spor sahaları</t>
  </si>
  <si>
    <t>Campos deportivos</t>
  </si>
  <si>
    <t>Sportplätze</t>
  </si>
  <si>
    <t>Topluluk bahçe(ler)i</t>
  </si>
  <si>
    <t>Jardín(es) comunitario(s)</t>
  </si>
  <si>
    <t>Gemeinschaftsgarten(s)</t>
  </si>
  <si>
    <t>mezarlıklar</t>
  </si>
  <si>
    <t>cementerios</t>
  </si>
  <si>
    <t>Friedhöfe</t>
  </si>
  <si>
    <t>Anıtlar</t>
  </si>
  <si>
    <t>Monumentos</t>
  </si>
  <si>
    <t>Monumente</t>
  </si>
  <si>
    <t>Köprüler</t>
  </si>
  <si>
    <t>Puentes</t>
  </si>
  <si>
    <t>Brücken</t>
  </si>
  <si>
    <t>üst geçitler</t>
  </si>
  <si>
    <t>Pasarelas</t>
  </si>
  <si>
    <t>Fußgängerbrücken</t>
  </si>
  <si>
    <t>Sıvı depolama tankları</t>
  </si>
  <si>
    <t>Tanques para almacenamiento de líquidos</t>
  </si>
  <si>
    <t>Tanks für die Lagerung von Flüssigkeiten</t>
  </si>
  <si>
    <t>Depo tesisi</t>
  </si>
  <si>
    <t>Instalación de almacén</t>
  </si>
  <si>
    <t>Lagereinrichtung</t>
  </si>
  <si>
    <t>Sanayi tesisleri</t>
  </si>
  <si>
    <t>Instalaciones industriales</t>
  </si>
  <si>
    <t>Industrieanlagen</t>
  </si>
  <si>
    <t>Hafif imalat</t>
  </si>
  <si>
    <t>Manufactura ligera</t>
  </si>
  <si>
    <t>Leichte Fertigung</t>
  </si>
  <si>
    <t>Ağır imalat</t>
  </si>
  <si>
    <t>Fabricación pesada</t>
  </si>
  <si>
    <t>Schwere Fertigung</t>
  </si>
  <si>
    <t>Yapısal beton enkaz</t>
  </si>
  <si>
    <t>Residuos de hormigón estructural</t>
  </si>
  <si>
    <t>Struktureller Betonschutt</t>
  </si>
  <si>
    <t>Karışık yapısal enkaz</t>
  </si>
  <si>
    <t>Escombros estructurales mixtos</t>
  </si>
  <si>
    <t>Gemischter Bauschutt</t>
  </si>
  <si>
    <t>Dış bina zarfı</t>
  </si>
  <si>
    <t>Envolvente exterior del edificio</t>
  </si>
  <si>
    <t>Äußere Gebäudehülle</t>
  </si>
  <si>
    <t>Çatı sistemleri</t>
  </si>
  <si>
    <t>Sistemas de techo</t>
  </si>
  <si>
    <t>Dachsysteme</t>
  </si>
  <si>
    <t>Dış cephe cam sistemleri</t>
  </si>
  <si>
    <t>Sistemas de acristalamiento exterior</t>
  </si>
  <si>
    <t>Verglasungssysteme für den Außenbereich</t>
  </si>
  <si>
    <t>balkonlar</t>
  </si>
  <si>
    <t>Balcones</t>
  </si>
  <si>
    <t>Balkone</t>
  </si>
  <si>
    <t>İç duvarlar</t>
  </si>
  <si>
    <t>Paredes interiores</t>
  </si>
  <si>
    <t>Innenwände</t>
  </si>
  <si>
    <t>İç kaplamalar</t>
  </si>
  <si>
    <t>Acabados interiores</t>
  </si>
  <si>
    <t>Innenausbau</t>
  </si>
  <si>
    <t>Merdivenler</t>
  </si>
  <si>
    <t>Escalera</t>
  </si>
  <si>
    <t>Treppe</t>
  </si>
  <si>
    <t>Bina çevre düzenlemesi</t>
  </si>
  <si>
    <t>Paisajismo de edificios</t>
  </si>
  <si>
    <t>Landschaftsgestaltung bauen</t>
  </si>
  <si>
    <t>Merkezi kazan</t>
  </si>
  <si>
    <t>Caldera central</t>
  </si>
  <si>
    <t>Zentraler Kessel</t>
  </si>
  <si>
    <t>Mekanik HVAC ve kanallar</t>
  </si>
  <si>
    <t>Climatización mecánica y conductos</t>
  </si>
  <si>
    <t>Mechanische HLK und Kanalisation</t>
  </si>
  <si>
    <t>Isı pompaları</t>
  </si>
  <si>
    <t>Bombas de calor</t>
  </si>
  <si>
    <t>Wärmepumpen</t>
  </si>
  <si>
    <t>Enerji depolama sistemleri</t>
  </si>
  <si>
    <t>Sistemas de almacenamiento de energía</t>
  </si>
  <si>
    <t>Energiespeichersysteme</t>
  </si>
  <si>
    <t>sıhhi tesisat</t>
  </si>
  <si>
    <t>Plomería</t>
  </si>
  <si>
    <t>Installation</t>
  </si>
  <si>
    <t>Elektriksel</t>
  </si>
  <si>
    <t>Eléctrico</t>
  </si>
  <si>
    <t>Elektrisch</t>
  </si>
  <si>
    <t>Aydınlatma sistemleri</t>
  </si>
  <si>
    <t>Sistemas de iluminación</t>
  </si>
  <si>
    <t>Beleuchtungssysteme</t>
  </si>
  <si>
    <t>HVAC Kontrol sistemleri</t>
  </si>
  <si>
    <t>Sistemas de control de climatización</t>
  </si>
  <si>
    <t>HLK-Steuerungssysteme</t>
  </si>
  <si>
    <t>Yangın kontrol sistemleri</t>
  </si>
  <si>
    <t>Sistemas de control de incendios</t>
  </si>
  <si>
    <t>Feuerleitsysteme</t>
  </si>
  <si>
    <t>İletişim sistemleri</t>
  </si>
  <si>
    <t>Sistemas de comunicación</t>
  </si>
  <si>
    <t>Kommunikationssysteme</t>
  </si>
  <si>
    <t>asansörler</t>
  </si>
  <si>
    <t>Ascensores</t>
  </si>
  <si>
    <t>Aufzüge</t>
  </si>
  <si>
    <t>yürüyen merdivenler</t>
  </si>
  <si>
    <t>escaleras mecánicas</t>
  </si>
  <si>
    <t>Rolltreppen</t>
  </si>
  <si>
    <t>Sabit ekipman ve cihazlar</t>
  </si>
  <si>
    <t>Equipos y artefactos fijos</t>
  </si>
  <si>
    <t>Feste Ausrüstung und Geräte</t>
  </si>
  <si>
    <t>SELECTED</t>
  </si>
  <si>
    <t>Рівень пошкодження
(позначте одне на комірку)</t>
  </si>
  <si>
    <t>Відсоток завданих пошкоджень</t>
  </si>
  <si>
    <t>Оберіть мову основного тексту</t>
  </si>
  <si>
    <t>Знесення для подальшої утилізації</t>
  </si>
  <si>
    <t>Очищення / знезараження</t>
  </si>
  <si>
    <t>Незначний ремонт / відновлення</t>
  </si>
  <si>
    <t>Помірний ремонт / відновлення</t>
  </si>
  <si>
    <t>Капітальна реконструкція / відновлення</t>
  </si>
  <si>
    <t>Реконструкція на тому ж місці</t>
  </si>
  <si>
    <t>Реконструкція на новій локації</t>
  </si>
  <si>
    <t>1. Запобігання новому будівництву в районах, схильних до підвищення рівня моря, річкових повеней, штормів, посухи або лісових пожеж.</t>
  </si>
  <si>
    <t>3. Зберення та покращення територій, що мають екологічну чи сільськогосподарську цінність</t>
  </si>
  <si>
    <t>4. Охорона та збереження територій міської культурної спадщини, будівель та пам'яток історії</t>
  </si>
  <si>
    <t>6. Забезпечення роботи житлових, громадських об’єктів та комунальних систем на оптимальному функціональному та енергетичному рівнях</t>
  </si>
  <si>
    <t>5. Зменшення ефекту міського теплового острова за допомогою імплементації зеленої та синьої інфраструктури</t>
  </si>
  <si>
    <t>7. Забезпечення задоволення фізичних та соціальних потреб мешканців житлових, громадських об’єктів та сприяння їх економічній рівності</t>
  </si>
  <si>
    <t>9. Створення кластерів різноманітних існуючих будівель, об'єднаних у зони синергії, які будуть врівноважувати надлишки і дефіцити енергії, вітру та води.</t>
  </si>
  <si>
    <t>10. Підтримання переходу від приватного до громадського транспорту для збереження навколишнього середовища та покращення якость повітря</t>
  </si>
  <si>
    <t>11. Пріоритезація постачання чистої енергії з відновлюваних джерел та скорочення використання викопного палива</t>
  </si>
  <si>
    <t>12. Мінімізація втіленої та робочої енергії всіх енергоспоживаючих установок та обладнання</t>
  </si>
  <si>
    <t>13. Мінімізація використання невідновлюваних матеріалів у новому будівництві та сприяння ефективного використання відновлювальних матеріалів для повторного використання або переробки</t>
  </si>
  <si>
    <t>14. Мінімізація використання невідновлюваних матеріалів у новому будівництві та сприяння ефективного використання відновлювальних матеріалів для повторного використання або переробки</t>
  </si>
  <si>
    <t>Перевищення температури, що призводить до ризику для здоров'я людей і шкоди екології</t>
  </si>
  <si>
    <t>Пошкодження конструкцій об'єктів та внутрішнього обладнання внаслідок повені</t>
  </si>
  <si>
    <t xml:space="preserve">Структурні пошкодження та затоплення конструкцій і внутрішнього обладнання </t>
  </si>
  <si>
    <t>Пошкодження конструкцій об'єкту та внутрішнього обладнання внаслідок пожежі - від вогня і диму; екологічна шкода</t>
  </si>
  <si>
    <t>Структурні пошкодження конструкцій об'єктів та внутрішнього обладнання</t>
  </si>
  <si>
    <t>Цей файл розробляється багатьма представниками iiSBE та іншими фахівцями в кількох центральноєвропейських країнах, які зацікавлені в сталий відбудові України. Його мета - надати можливість організаціям, які знаходяться близько до місця подій, у спрощений спосіб проводити опис збитків від воєнних дій та визначати зусилля для майбутньої реконструкції.
Файл структуровано таким чином, що його також можна використовувати для характеристики шкоди, спричиненої  і іншими факторами, такими як повінь, шторм, пожежа та землетрус. Файл буде пов’язано з версією інструментів iiSBE, призначених для встановлення цільових показників сталого розвитку для сусідства (SNTool) або будівель (SBTool).</t>
  </si>
  <si>
    <t>Комунальні служби 1</t>
  </si>
  <si>
    <t>Комунальні служби 2</t>
  </si>
  <si>
    <t>Необхідна дія</t>
  </si>
  <si>
    <t>Пошкодження внаслідок військових дій</t>
  </si>
  <si>
    <t>2. Забезпечення того, що міські території мінімізують майбутню шкоду від наслідків зміни клімату, землетрусів або військових дій</t>
  </si>
  <si>
    <t>8. Мінімізація капітальних витрат протягом усього життєвого циклу житлових, громадських об'єктів і комунальних систем</t>
  </si>
  <si>
    <t>Усі вибірки та значення є гіпотетичними та призначені лише для того, щоб показати, як може працювати система.
Натисніть на сині клітинки, щоб вибрати зі списків. Введіть текст у жовті клітинки, але НЕ вводьте текст в інші клітинки, оскільки більшість із них містять формули.
Не забудьте скористатися 3 кнопками у верхньому лівому куті, щоб побачити різні рівні деталізації.</t>
  </si>
  <si>
    <t>Wszystkie wybory i wartości są hipotetyczne i mają na celu jedynie pokazanie, jak system może działać.
Kliknij niebieskie komórki, aby wybrać z list. Wprowadź tekst w żółtych komórkach, ale NIE wpisuj tekstu w innych komórkach, ponieważ większość z nich zawiera formuły.
Nie zapomnij użyć 3 przycisków w lewym górnym rogu, aby zobaczyć różne poziomy uszczegółowienia.</t>
  </si>
  <si>
    <t>Les sélections et les valeurs sont toutes hypothétiques et visent uniquement à montrer comment le système pourrait fonctionner.
Cliquez sur les cellules bleues pour sélectionner dans les listes. Entrez du texte dans les cellules jaunes, mais n'entrez PAS de texte dans les autres cellules, car la plupart d'entre elles contiennent des formules.
N'oubliez pas d'utiliser les 3 boutons dans le coin supérieur gauche pour voir les niveaux de détail.</t>
  </si>
  <si>
    <t>Las selecciones y los valores son todos hipotéticos y solo pretenden mostrar cómo podría funcionar el sistema.
Haga clic en las celdas azules para seleccionar de las listas. Ingrese texto en celdas amarillas pero NO ingrese texto en otras celdas, ya que la mayoría de ellas contienen fórmulas.
No olvides usar los 3 botones en la esquina superior izquierda para ver los niveles de detalle.</t>
  </si>
  <si>
    <t>Auswahlen und Werte sind alle hypothetisch und sollen nur zeigen, wie das System funktionieren könnte.  
Klicken Sie auf blaue Zellen, um aus Listen auszuwählen. Geben Sie Text in gelbe Zellen ein, aber geben Sie KEINEN Text in andere Zellen ein, da die meisten von ihnen Formeln enthalten.
 Vergessen Sie nicht, die 3 Schaltflächen in der oberen linken Ecke zu verwenden, um Detailebenen anzuzeigen.</t>
  </si>
  <si>
    <t>Ukraine invasion titles</t>
  </si>
  <si>
    <t>Damage Assessments for Post-hurricane Reconstruction</t>
  </si>
  <si>
    <t>Post-Hurricane reconstruction</t>
  </si>
  <si>
    <t>Selected project titles</t>
  </si>
  <si>
    <t>Selections and values are all hypothetical and are only intended to show how the system can work.
Click on blue cells to select from lists. Enter text in yellow cells but do NOT enter text in other cells, since most of them contain formulas. 
If you want to change some of the headings or other text, please go to the appropriate section of the file (English, Ukrainian, Polish, French, Turkish or German) in the Languages tab. 
For info contact &lt;larsson@iisbe.org&gt;</t>
  </si>
  <si>
    <t>Оцінка збитків для відновлення після урагану</t>
  </si>
  <si>
    <t>Text boxes in this section with this colour contain alternative titles used in this version of the file. Enter new titles in the cells below of the same colour.</t>
  </si>
  <si>
    <t>Zadanie: Ocena szkód</t>
  </si>
  <si>
    <t>Oceny szkód dla zrównoważonej odbudowy na Ukrainie</t>
  </si>
  <si>
    <t>Oceny szkód dla odbudowy po huraganie</t>
  </si>
  <si>
    <t>Titles A</t>
  </si>
  <si>
    <t>Titles B</t>
  </si>
  <si>
    <t>Titles C</t>
  </si>
  <si>
    <t>Évaluations des dommages pour la reconstruction post-ouragan</t>
  </si>
  <si>
    <t>Schadensbewertungen für den Wiederaufbau nach dem Hurrikan</t>
  </si>
  <si>
    <t>Textfelder in diesem Abschnitt mit dieser Farbe enthalten wichtige Titel, die in dieser Version der Datei verwendet werden. Geben Sie neue Titel in die gleichfarbigen Zellen darunter ein.</t>
  </si>
  <si>
    <t>Los cuadros de texto de esta sección con este color contienen títulos importantes utilizados en esta versión del archivo. Introduzca nuevos títulos en las celdas de abajo del mismo color.</t>
  </si>
  <si>
    <t>Les zones de texte de cette section avec cette couleur contiennent des titres importants utilisés dans cette version du fichier. Entrez de nouveaux titres dans les cellules ci-dessous de la même couleur.</t>
  </si>
  <si>
    <t>Pola tekstowe w tej sekcji oznaczone tym kolorem zawierają ważne tytuły używane w tej wersji pliku. Wprowadź nowe tytuły w komórkach poniżej tego samego koloru.</t>
  </si>
  <si>
    <t>Текстові поля в цьому розділі цього кольору містять важливі заголовки, які використовуються в цій версії файлу. Введіть нові заголовки в клітинки нижче того самого кольору.</t>
  </si>
  <si>
    <t>Selected Language:
do not change anything in this section, because these cells are derived from yellow cells in sections above and then copied to the Main section</t>
  </si>
  <si>
    <t>Hurricane / cyclone / storm surges</t>
  </si>
  <si>
    <t>Schaden: Nichtmilitärische ursächliche Faktoren</t>
  </si>
  <si>
    <t>Причинні фактори, пов’язані зі зміною клімату, землетрусами чи іншими природними явищами
Річкова повінь / сильний дощ
Ураган / циклон
Міський острів тепла
Хімічні або радіаційні аварії
Посуха
Лісова пожежа
Землетрус</t>
  </si>
  <si>
    <t>Czynniki przyczynowe związane ze zmianą klimatu, trzęsieniami ziemi lub innymi zjawiskami naturalnymi
Wzrost poziomu morza
Powodzie rzeczne / ulewne deszcze
Huragan / cyklon
Miejska wyspa ciepła
Wypadki chemiczne lub radiacyjne
Susza
Pożar
Trzęsienie ziemi</t>
  </si>
  <si>
    <t>Facteurs causaux liés au changement climatique, aux tremblements de terre ou à d'autres phénomènes naturels
Le niveau de la mer monte
Inondations fluviales / fortes pluies
Ouragan / cyclone
Îlot de chaleur urbain
Accidents chimiques ou radiologiques
Sécheresse
Incendies
Tremblement de terre</t>
  </si>
  <si>
    <t>Factores causales relacionados con el cambio climático, terremotos u otros fenómenos naturales
Aumento del nivel del mar
Inundaciones fluviales/lluvia intensa
Huracán / ciclón
isla de calor urbana
Accidentes químicos o de radiación
Sequía
Incendio forestal
Terremoto</t>
  </si>
  <si>
    <t>Kausale Faktoren im Zusammenhang mit Klimawandel, Erdbeben oder anderen Naturphänomenen
Meeresspiegel steigt
Flusshochwasser / Starkregen
Hurrikan / Zyklon
Städtische Wärmeinsel
Chemie- oder Strahlenunfälle
Dürre
Lauffeuer
Erdbeben</t>
  </si>
  <si>
    <t>Foundations / basements</t>
  </si>
  <si>
    <t>Horizontal structure / floors</t>
  </si>
  <si>
    <t>Fundamente / Keller</t>
  </si>
  <si>
    <t>Horizontale Struktur / Böden</t>
  </si>
  <si>
    <t>Cimientos / sótanos</t>
  </si>
  <si>
    <t>Estructura horizontal / pisos</t>
  </si>
  <si>
    <t>Temeller / bodrumlar</t>
  </si>
  <si>
    <t>Yatay yapı / zeminler</t>
  </si>
  <si>
    <t>Fondations / sous-sols</t>
  </si>
  <si>
    <t>Structure horizontale / planchers</t>
  </si>
  <si>
    <t>Fundamenty / piwnice</t>
  </si>
  <si>
    <t>Struktura pozioma / podłogi</t>
  </si>
  <si>
    <t>Фундаменти / підвали</t>
  </si>
  <si>
    <t>Горизонтальна конструкція / перекриття</t>
  </si>
  <si>
    <t>Full bathrooms</t>
  </si>
  <si>
    <t>Small washrooms</t>
  </si>
  <si>
    <t>Private gardens</t>
  </si>
  <si>
    <t>Повні ванні кімнати</t>
  </si>
  <si>
    <t>Маленькі вбиральні</t>
  </si>
  <si>
    <t>Приватні сади</t>
  </si>
  <si>
    <t>Pełne łazienki</t>
  </si>
  <si>
    <t>Małe toalety</t>
  </si>
  <si>
    <t>Prywatne ogrody</t>
  </si>
  <si>
    <t>Salles de bain complètes</t>
  </si>
  <si>
    <t>Petites toilettes</t>
  </si>
  <si>
    <t>Jardins privés</t>
  </si>
  <si>
    <t>Tam banyolar</t>
  </si>
  <si>
    <t>Küçük tuvaletler</t>
  </si>
  <si>
    <t>Özel bahçeler</t>
  </si>
  <si>
    <t>Baños completos</t>
  </si>
  <si>
    <t>Baños pequeños</t>
  </si>
  <si>
    <t>jardines privados</t>
  </si>
  <si>
    <t>Vollständige Badezimmer</t>
  </si>
  <si>
    <t>Kleine Waschräume</t>
  </si>
  <si>
    <t>Private Gärten</t>
  </si>
  <si>
    <t>Public washrooms</t>
  </si>
  <si>
    <t>Commercial kitchens</t>
  </si>
  <si>
    <t>Gewerbliche Küchen</t>
  </si>
  <si>
    <t>Baños públicos</t>
  </si>
  <si>
    <t>cocinas comerciales</t>
  </si>
  <si>
    <t>Öffentliche Waschräume</t>
  </si>
  <si>
    <t>Umumi tuvaletler</t>
  </si>
  <si>
    <t>Ticari mutfaklar</t>
  </si>
  <si>
    <t>Toilettes publiques</t>
  </si>
  <si>
    <t>Cuisines professionnelles</t>
  </si>
  <si>
    <t>Toalety publiczne</t>
  </si>
  <si>
    <t>Kuchnie komercyjne</t>
  </si>
  <si>
    <t>Громадські вбиральні</t>
  </si>
  <si>
    <t>Комерційні кухні</t>
  </si>
  <si>
    <t>Damage Assessments for Post-earthquake reconstruction in Chile</t>
  </si>
  <si>
    <t>Evaluaciones de daños para la reconstrucción posterior al huracán</t>
  </si>
  <si>
    <t xml:space="preserve">Schadensgutachten für den Wiederaufbau nach Erdbeben in Chile </t>
  </si>
  <si>
    <t xml:space="preserve">Aufgabe: Schadensgutachten </t>
  </si>
  <si>
    <t xml:space="preserve">Görev: Hasar Değerlendirmeleri </t>
  </si>
  <si>
    <t xml:space="preserve">Évaluations des dommages pour la reconstruction post-séisme au Chili </t>
  </si>
  <si>
    <t>Tâche : Évaluations des dommages</t>
  </si>
  <si>
    <t>Oceny szkód dla odbudowy po trzęsieniu ziemi w Chile</t>
  </si>
  <si>
    <t>Оцінка збитків для відновлення після землетрусу в Чилі</t>
  </si>
  <si>
    <t xml:space="preserve">Three basic scenarios for phenomena that can cause damage are shown above. </t>
  </si>
  <si>
    <t>Вище показано три основні сценарії явищ, які можуть завдати шкоди.</t>
  </si>
  <si>
    <t>Powyżej przedstawiono trzy podstawowe scenariusze zjawisk, które mogą powodować szkody.</t>
  </si>
  <si>
    <t>Trois scénarios de base pour les phénomènes qui peuvent causer des dommages sont présentés ci-dessus.</t>
  </si>
  <si>
    <t>Hasara neden olabilecek olaylar için üç temel senaryo yukarıda gösterilmiştir.</t>
  </si>
  <si>
    <t>Arriba se muestran tres escenarios básicos para fenómenos que pueden causar daños.</t>
  </si>
  <si>
    <t>Oben sind drei grundlegende Szenarien für Phänomene dargestellt, die Schäden verursachen können.</t>
  </si>
  <si>
    <r>
      <rPr>
        <sz val="14"/>
        <color theme="1"/>
        <rFont val="Calibri-Light"/>
      </rPr>
      <t xml:space="preserve">Causal factors related to climate change, earthquakes or other natural phenomena
</t>
    </r>
    <r>
      <rPr>
        <sz val="10"/>
        <color theme="1"/>
        <rFont val="Calibri-Light"/>
        <family val="2"/>
      </rPr>
      <t xml:space="preserve">
Sea Level rise / storm surges
Riverine flooding / heavy rain
Hurricane / cyclone
Urban heat island
Chemical or radiation accidents
Drought
Wildfire
Earthquake</t>
    </r>
  </si>
  <si>
    <t>Boguslaw Witkowski &lt;bfwitkowski@gmail.com&gt;</t>
  </si>
  <si>
    <t>Nika Trubina &lt;nika.trubina@cvut.cz&gt;</t>
  </si>
  <si>
    <t>Woytek Kujawski &lt;wk.kujawski@gmail.com&gt;</t>
  </si>
  <si>
    <t>John Crace &lt;john.crace@eastlink.ca&gt;</t>
  </si>
  <si>
    <t>іяОчисно-насосна станція</t>
  </si>
  <si>
    <t>Oczyszczalnia ścieków i przepompownia</t>
  </si>
  <si>
    <t>Station de traitement et de pompage des eaux usées</t>
  </si>
  <si>
    <t>Kanalizasyon arıtma ve pompa istasyonu</t>
  </si>
  <si>
    <t>Estación de tratamiento y bombeo de aguas residuales</t>
  </si>
  <si>
    <t>Kläranlage und Pumpwerk</t>
  </si>
  <si>
    <t>Residential kitchens</t>
  </si>
  <si>
    <t>Wohnküchen</t>
  </si>
  <si>
    <t>cocinas residenciales</t>
  </si>
  <si>
    <t>Konut mutfakları</t>
  </si>
  <si>
    <t>Cuisines résidentielles</t>
  </si>
  <si>
    <t>Kuchnie mieszkalne</t>
  </si>
  <si>
    <t>Житлові кухні</t>
  </si>
  <si>
    <t>Attached housing units</t>
  </si>
  <si>
    <t>Прибудовані житла</t>
  </si>
  <si>
    <t>Багатоквартирні житлові будинки =&lt; 3 пов</t>
  </si>
  <si>
    <t>Багатоквартирні житлові будинки 4+ поверхи</t>
  </si>
  <si>
    <t>Окремі квартири</t>
  </si>
  <si>
    <t>Dołączone jednostki mieszkalne</t>
  </si>
  <si>
    <t>Budynki mieszkalne wielorodzinne =&lt; 3 kondygnacje</t>
  </si>
  <si>
    <t>Wielorodzinne budynki mieszkalne 4+ kondygnacje</t>
  </si>
  <si>
    <t>Apartamenty indywidualne</t>
  </si>
  <si>
    <t>Logements mitoyens</t>
  </si>
  <si>
    <t>Immeubles résidentiels à logements multiples =&lt; 3 étages</t>
  </si>
  <si>
    <t>Immeubles résidentiels à logements multiples 4+ étages</t>
  </si>
  <si>
    <t>Appartements individuels</t>
  </si>
  <si>
    <t>Ekli konut birimleri</t>
  </si>
  <si>
    <t>Çok birimli konut binaları =&lt; 3 kat</t>
  </si>
  <si>
    <t>Çok birimli konut binaları 4+ kat</t>
  </si>
  <si>
    <t>Bireysel daireler</t>
  </si>
  <si>
    <t>Unidades de vivienda adosadas</t>
  </si>
  <si>
    <t>Edificios residenciales de unidades múltiples = &lt; 3 pisos</t>
  </si>
  <si>
    <t>Edificios residenciales de unidades múltiples de 4+ pisos</t>
  </si>
  <si>
    <t>Apartamentos individuales</t>
  </si>
  <si>
    <t>Angebaute Wohneinheiten</t>
  </si>
  <si>
    <t>Wohngebäude mit mehreren Einheiten =&lt; 3 Stockwerke</t>
  </si>
  <si>
    <t>Wohngebäude mit mehreren Einheiten 4+ Stockwerke</t>
  </si>
  <si>
    <t>Individuelle Wohnungen</t>
  </si>
  <si>
    <t>Schweregrad 
0 bis 4</t>
  </si>
  <si>
    <t>Gravedad 
0 a 4</t>
  </si>
  <si>
    <t>Gravité 
0 à 4</t>
  </si>
  <si>
    <t>Stopień Uszkodzeń 
od 0 do 4</t>
  </si>
  <si>
    <t>Ступінь тяжкості 
від 0 до 4</t>
  </si>
  <si>
    <t>Nils Larsson &lt;larsson@iisbe.org&gt;</t>
  </si>
  <si>
    <t xml:space="preserve">
Ukraine's economic and environmental progress has been under attack since the start of the large-scale aggression by Russia, setting back hopes for an independent, green and sustainable Ukraine. Tens of thousands of lives have been lost and the associated humanitarian crisis has led to a large number of besieged and displaced people both within Ukraine and abroad.8 The economic impacts have also been significant. Recent estimates of the damage to infrastructure, housing and non-residential buildings exceed USD 100 billion, with vast destruction of homes, roads and railways, as well as agricultural land and other productive capacity of the country
Ukraine has seen levels of waste dramatically increase because of military operations. This includes military vehicles and equipment that are damaged or abandoned, shell fragments, civilian vehicles and building debris. There is also uncollected household and medical waste...Some of this waste is toxic and will need special handling, transport and disposal...for example, medical waste and shell fragments. Building debris can also contain toxic substances like asbestos...
     Source:  How has the war impacted Ukraine’s environment?; OECD July 25, 2022</t>
  </si>
  <si>
    <t>Цей економічний та екологічний прогрес піддається нападу з початку широкомасштабної агресії з боку Росії, що зруйнувало надії на незалежну, зелену та стійку Україну. Було втрачено десятки тисяч життів, а пов’язана з цим гуманітарна криза призвела до великої кількості людей, які опинилися в облозі та переміщених осіб як в Україні, так і за її межами.8 Економічні наслідки також були значними. За останніми оцінками, збитки, завдані інфраструктурі, житлу та нежитловим будівлям, перевищують 100 мільярдів доларів США, із значним руйнуванням будинків, доріг і залізниць, а також сільськогосподарських угідь та інших виробничих потужностей країни.
В Україні рівень відходів різко зріс через військові дії. Це включає військові транспортні засоби та техніку, які пошкоджені або покинуті, уламки снарядів, цивільні транспортні засоби та будівельне сміття. Є також незібрані побутові та медичні відходи... Деякі з цих відходів є токсичними і потребують спеціального поводження, транспортування та утилізації... наприклад, медичні відходи та фрагменти снарядів. Будівельне сміття також може містити токсичні речовини, такі як азбест...
     Джерело: Як війна вплинула на довкілля України?; ОЕСР 25 липня 2022 р</t>
  </si>
  <si>
    <t>Postęp gospodarczy i środowiskowy Ukrainy jest atakowany od początku agresji Rosji na dużą skalę, co oddala nadzieje na niezależną, zieloną i zrównoważoną Ukrainę. Zginęły dziesiątki tysięcy istnień ludzkich, a związany z nim kryzys humanitarny doprowadził do dużej liczby oblężonych i przesiedlonych osób zarówno na Ukrainie, jak i za granicą8. Skutki gospodarcze były również znaczące. Ostatnie szacunki szkód w infrastrukturze, budynkach mieszkalnych i niemieszkalnych przekraczają 100 mld USD, z ogromnym zniszczeniem domów, dróg i linii kolejowych, a także gruntów rolnych i innych zdolności produkcyjnych kraju
Ukraina odnotowała dramatyczny wzrost poziomu odpadów z powodu operacji wojskowych. Obejmuje to pojazdy i sprzęt wojskowy, które są uszkodzone lub porzucone, fragmenty pocisków, pojazdy cywilne i gruz budowlany. Istnieją również nieodebrane odpady domowe i medyczne... Niektóre z tych odpadów są toksyczne i będą wymagały specjalnego postępowania, transportu i utylizacji... na przykład odpady medyczne i fragmenty muszli. Gruz budowlany może również zawierać substancje toksyczne, takie jak azbest...
     Źródło: Jak wojna wpłynęła na środowisko Ukrainy?; OECD 25 lipca 2022 r.</t>
  </si>
  <si>
    <t>Les progrès économiques et environnementaux de l'Ukraine sont menacés depuis le début de l'agression à grande échelle de la Russie, faisant reculer les espoirs d'une Ukraine indépendante, verte et durable. Des dizaines de milliers de vies ont été perdues et la crise humanitaire associée a entraîné un grand nombre de personnes assiégées et déplacées à la fois en Ukraine et à l'étranger8. Les impacts économiques ont également été importants. Les estimations récentes des dommages causés aux infrastructures, aux logements et aux bâtiments non résidentiels dépassent 100 milliards de dollars, avec une vaste destruction de maisons, de routes et de voies ferrées, ainsi que de terres agricoles et d'autres capacités de production du pays.
L'Ukraine a vu les niveaux de déchets augmenter considérablement en raison des opérations militaires. Cela comprend les véhicules et équipements militaires endommagés ou abandonnés, les fragments d'obus, les véhicules civils et les débris de construction. Il y a aussi des déchets ménagers et médicaux non collectés... Certains de ces déchets sont toxiques et nécessiteront une manipulation, un transport et une élimination spéciaux... par exemple, les déchets médicaux et les fragments de coquillages. Les débris de construction peuvent aussi contenir des substances toxiques comme l'amiante...
     Source : Quel impact la guerre a-t-elle eu sur l'environnement de l'Ukraine ? ; OCDE 25 juillet 2022</t>
  </si>
  <si>
    <t>El progreso económico y medioambiental de Ucrania ha estado bajo ataque desde el comienzo de la agresión a gran escala por parte de Rusia, lo que ha hecho retroceder las esperanzas de una Ucrania independiente, verde y sostenible. Se han perdido decenas de miles de vidas y la crisis humanitaria asociada ha llevado a un gran número de personas asediadas y desplazadas tanto dentro como fuera de Ucrania.8 Los impactos económicos también han sido significativos. Las estimaciones recientes de los daños a la infraestructura, la vivienda y los edificios no residenciales superan los 100 000 millones de USD, con una gran destrucción de viviendas, carreteras y vías férreas, así como de tierras agrícolas y otra capacidad productiva del país.
Ucrania ha visto aumentar drásticamente los niveles de desechos debido a las operaciones militares. Esto incluye vehículos y equipos militares dañados o abandonados, fragmentos de proyectiles, vehículos civiles y escombros de edificios. También hay desechos domésticos y médicos no recolectados... Algunos de estos desechos son tóxicos y necesitarán un manejo, transporte y eliminación especiales... por ejemplo, desechos médicos y fragmentos de caparazones. Los escombros de construcción también pueden contener sustancias tóxicas como el asbesto...
     Fuente: ¿Cómo ha impactado la guerra en el medio ambiente de Ucrania?; OCDE 25 de julio de 2022</t>
  </si>
  <si>
    <t>Der wirtschaftliche und ökologische Fortschritt der Ukraine wird seit Beginn der groß angelegten Aggression durch Russland angegriffen, was die Hoffnungen auf eine unabhängige, grüne und nachhaltige Ukraine zurückwirft. Zehntausende Menschen kamen ums Leben, und die damit verbundene humanitäre Krise hat zu einer großen Zahl von Belagerten und Vertriebenen sowohl innerhalb der Ukraine als auch im Ausland geführt.8 Die wirtschaftlichen Auswirkungen waren ebenfalls erheblich. Jüngste Schätzungen über die Schäden an Infrastruktur, Wohnungen und Nichtwohngebäuden übersteigen 100 Milliarden US-Dollar, wobei Häuser, Straßen und Eisenbahnen sowie landwirtschaftliche Flächen und andere Produktionskapazitäten des Landes erheblich zerstört werden
In der Ukraine hat die Abfallmenge aufgrund von Militäroperationen dramatisch zugenommen. Dazu gehören beschädigte oder verlassene Militärfahrzeuge und -ausrüstung, Granatsplitter, Zivilfahrzeuge und Bauschutt. Es gibt auch nicht gesammelte Haushalts- und medizinische Abfälle ... Einige dieser Abfälle sind giftig und müssen speziell behandelt, transportiert und entsorgt werden ... zum Beispiel medizinische Abfälle und Granatsplitter. Bauschutt kann auch giftige Stoffe wie Asbest enthalten...
     Quelle: Wie hat sich der Krieg auf die Umwelt der Ukraine ausgewirkt?; OECD 25. Juli 2022</t>
  </si>
  <si>
    <t>Greg Foliente &lt;greg.foliente@unimelb.edu.au&gt;</t>
  </si>
  <si>
    <t>Kajetan Sadowski
&lt;kajetan.sadowski@pwr.edu.pl&gt;</t>
  </si>
  <si>
    <t>Fiktive Beispiele gezeigt</t>
  </si>
  <si>
    <t>Se muestran ejemplos ficticios</t>
  </si>
  <si>
    <t>Exemples fictifs présentés</t>
  </si>
  <si>
    <t>Pokazane fikcyjne przykłady</t>
  </si>
  <si>
    <t>Показані художні приклади</t>
  </si>
  <si>
    <t>Див. Рівні збитків, Відсоток уражених і Серйозність для конкретних систем нижче</t>
  </si>
  <si>
    <t>Zobacz Poziomy uszkodzeń, Procent dotkniętych i Dotkliwość dla konkretnych systemów poniżej</t>
  </si>
  <si>
    <t>Voir les niveaux de dommages, le pourcentage affecté et la gravité des systèmes spécifiques ci-dessous</t>
  </si>
  <si>
    <t>Consulte los niveles de daños, el porcentaje afectado y la gravedad de los sistemas específicos a continuación.</t>
  </si>
  <si>
    <t>Siehe Schadensstufen, Prozentsatz der Betroffenheit und Schweregrad für spezifische Systeme weiter unten</t>
  </si>
  <si>
    <t>Damage score = Severity x Priority</t>
  </si>
  <si>
    <t>Service Quality</t>
  </si>
  <si>
    <t>Social, Cultural &amp; Perceptual</t>
  </si>
  <si>
    <t>Cost &amp; Economic Factors</t>
  </si>
  <si>
    <t>Соціальні, культурні та сприйнятливі</t>
  </si>
  <si>
    <t>Вартість та економічні фактори</t>
  </si>
  <si>
    <t>Якість обслуговування</t>
  </si>
  <si>
    <t>Якість внутрішнього середовища</t>
  </si>
  <si>
    <t>Społeczne, kulturowe i percepcyjne</t>
  </si>
  <si>
    <t>Koszty i czynniki ekonomiczne</t>
  </si>
  <si>
    <t>Jakość usług</t>
  </si>
  <si>
    <t>Jakość środowiska wewnętrznego</t>
  </si>
  <si>
    <t>Social, culturel et perceptif</t>
  </si>
  <si>
    <t>Coût et facteurs économiques</t>
  </si>
  <si>
    <t>Qualité du service</t>
  </si>
  <si>
    <t>Qualité de l'environnement intérieur</t>
  </si>
  <si>
    <t>Sosyal, Kültürel ve Algısal</t>
  </si>
  <si>
    <t>Maliyet ve Ekonomik Faktörler</t>
  </si>
  <si>
    <t>Servis kalitesi</t>
  </si>
  <si>
    <t>İç Mekan Çevre Kalitesi</t>
  </si>
  <si>
    <t>Social, Cultural y Perceptivo</t>
  </si>
  <si>
    <t>Costo y factores económicos</t>
  </si>
  <si>
    <t>Calidad de servicio</t>
  </si>
  <si>
    <t>Calidad Ambiental Interior</t>
  </si>
  <si>
    <t>Sozial, kulturell und perzeptuell</t>
  </si>
  <si>
    <t>Kosten- und Wirtschaftsfaktoren</t>
  </si>
  <si>
    <t>Servicequalität</t>
  </si>
  <si>
    <t>Raumklimaqualität</t>
  </si>
  <si>
    <t>Betroffene Fläche 
und/oder Menge</t>
  </si>
  <si>
    <t>Área y/o 
cantidad afectada</t>
  </si>
  <si>
    <t>Superficie et/ou 
quantité affectée</t>
  </si>
  <si>
    <t>Dotknięty obszar 
i/lub ilość</t>
  </si>
  <si>
    <t>Площа ураження 
та/або кількість</t>
  </si>
  <si>
    <t>A</t>
  </si>
  <si>
    <t>B</t>
  </si>
  <si>
    <t>C</t>
  </si>
  <si>
    <t>D</t>
  </si>
  <si>
    <t>E</t>
  </si>
  <si>
    <t>F</t>
  </si>
  <si>
    <t>G</t>
  </si>
  <si>
    <t>Categoría de sostenibilidad A-G</t>
  </si>
  <si>
    <t>Категорія стійкості A-G</t>
  </si>
  <si>
    <t>Energy and Emissions</t>
  </si>
  <si>
    <t>Non-renewable Resources</t>
  </si>
  <si>
    <t>Невідновлювані ресурси</t>
  </si>
  <si>
    <t>Енергія та викиди</t>
  </si>
  <si>
    <t>Źródła nieodnawialne</t>
  </si>
  <si>
    <t>Energia i emisje</t>
  </si>
  <si>
    <t>Ressources non renouvelables</t>
  </si>
  <si>
    <t>Énergie et émissions</t>
  </si>
  <si>
    <t>Yenilenemez kaynaklar</t>
  </si>
  <si>
    <t>Enerji ve Emisyonlar</t>
  </si>
  <si>
    <t>Recursos no renovables</t>
  </si>
  <si>
    <t>Energía y Emisiones</t>
  </si>
  <si>
    <t>Nicht erneuerbare Ressourcen</t>
  </si>
  <si>
    <t>Energie und Emissionen</t>
  </si>
  <si>
    <t>Nachhaltigkeitskategorie 
A-G</t>
  </si>
  <si>
    <t>Sürdürülebilirlik 
kategorisi A-G</t>
  </si>
  <si>
    <t>Catégorie de 
durabilité A-G</t>
  </si>
  <si>
    <t>Kategoria zrównoważonego 
rozwoju A-G</t>
  </si>
  <si>
    <t>Вага від 1 до 5</t>
  </si>
  <si>
    <t>Waga 1 do 5</t>
  </si>
  <si>
    <t>Poids 1 à 5</t>
  </si>
  <si>
    <t>Ağırlık 1 ila 5</t>
  </si>
  <si>
    <t>Peso 1 a 5</t>
  </si>
  <si>
    <t>Gewicht 1 bis 5</t>
  </si>
  <si>
    <t>H</t>
  </si>
  <si>
    <t>Безпека здоров'я та життя</t>
  </si>
  <si>
    <t>Bezpieczeństwo zdrowia i życia</t>
  </si>
  <si>
    <t>Santé et sécurité des personnes</t>
  </si>
  <si>
    <t>Sağlık ve can güvenliği</t>
  </si>
  <si>
    <t>Salud y seguridad de la vida</t>
  </si>
  <si>
    <t>Gesundheit und Lebenssicherheit</t>
  </si>
  <si>
    <t>Ratio of Weights in this section to all weights</t>
  </si>
  <si>
    <t>Buildings of historical value</t>
  </si>
  <si>
    <t>Будівлі історичної цінності</t>
  </si>
  <si>
    <t>Budynki o wartości historycznej</t>
  </si>
  <si>
    <t>Bâtiments de valeur historique</t>
  </si>
  <si>
    <t>Tarihi değeri olan binalar</t>
  </si>
  <si>
    <t>Edificios de valor histórico</t>
  </si>
  <si>
    <t>Gebäude von historischem Wert</t>
  </si>
  <si>
    <t>Nursing homes</t>
  </si>
  <si>
    <t>Altenheime</t>
  </si>
  <si>
    <t>Hogares de ancianos</t>
  </si>
  <si>
    <t>Bakım evleri</t>
  </si>
  <si>
    <t>Maisons de retraite</t>
  </si>
  <si>
    <t>Domy opieki</t>
  </si>
  <si>
    <t>Будинки престарілих</t>
  </si>
  <si>
    <t>Інші типи житлових будинків</t>
  </si>
  <si>
    <t>Inne typy budynków mieszkalnych</t>
  </si>
  <si>
    <t>Autres types de bâtiments résidentiels</t>
  </si>
  <si>
    <t>Diğer konut bina türleri</t>
  </si>
  <si>
    <t>Otros tipos de edificios residenciales</t>
  </si>
  <si>
    <t>Andere Wohngebäudetypen</t>
  </si>
  <si>
    <t>Buildings for culture or arts</t>
  </si>
  <si>
    <t>Будинки культури чи мистецтва</t>
  </si>
  <si>
    <t>Budynki dla kultury lub sztuki</t>
  </si>
  <si>
    <t>Bâtiments pour la culture ou les arts</t>
  </si>
  <si>
    <t>Kültür veya sanat için binalar</t>
  </si>
  <si>
    <t>Edificios para la cultura o las artes</t>
  </si>
  <si>
    <t>Bauten für Kultur oder Kunst</t>
  </si>
  <si>
    <t>Struktur, Gebäude oder Anlage</t>
  </si>
  <si>
    <t>Estructura, Edificio o Instalación</t>
  </si>
  <si>
    <t xml:space="preserve">Yapı, Bina veya Tesis </t>
  </si>
  <si>
    <t>Structure, bâtiment ou installation</t>
  </si>
  <si>
    <t>Struktura, budynek lub obiekt</t>
  </si>
  <si>
    <t>Споруда, будівля або об'єкт</t>
  </si>
  <si>
    <t xml:space="preserve">Structure, Building or Facility </t>
  </si>
  <si>
    <t>Громадські та комерційні будівлі</t>
  </si>
  <si>
    <t>Budynki użyteczności publicznej i komercyjne</t>
  </si>
  <si>
    <t>Bâtiments publics et commerciauxs</t>
  </si>
  <si>
    <t>Edificios públicos y comerciales</t>
  </si>
  <si>
    <t>Öffentliche und gewerbliche Gebäude</t>
  </si>
  <si>
    <t>Stadtgebiet von Irpin</t>
  </si>
  <si>
    <t>Region Temuco in Chile</t>
  </si>
  <si>
    <t>Temuco, Chile</t>
  </si>
  <si>
    <t>Reconstrucción Sostenible en Ucrania</t>
  </si>
  <si>
    <t>Irpin y otras áreas urbanas</t>
  </si>
  <si>
    <t>Reconstrucción Sustentable en Chile</t>
  </si>
  <si>
    <t>Región de Temuco en Chile</t>
  </si>
  <si>
    <t>Reconstrucción Sostenible en Provincias Marítimas</t>
  </si>
  <si>
    <t>Provincias Marítimas</t>
  </si>
  <si>
    <t>Nachhaltiger Wiederaufbau in der Ukraine</t>
  </si>
  <si>
    <t>Nachhaltiger Wiederaufbau in Chile</t>
  </si>
  <si>
    <t>Nachhaltiger Wiederaufbau in maritimen Provinzen</t>
  </si>
  <si>
    <t>Ukrayna'da Sürdürülebilir Yeniden Yapılanma</t>
  </si>
  <si>
    <t>Irpin kentsel alan</t>
  </si>
  <si>
    <t>Şili'de Sürdürülebilir Yeniden Yapılanma</t>
  </si>
  <si>
    <t>Temuco, Şili</t>
  </si>
  <si>
    <t>Reconstruction durable en Ukraine</t>
  </si>
  <si>
    <t>Zone urbaine d'Irpin</t>
  </si>
  <si>
    <t>Reconstruction durable au Chili</t>
  </si>
  <si>
    <t>Temuco, Chili</t>
  </si>
  <si>
    <t>Reconstruction durable en provinces maritimes</t>
  </si>
  <si>
    <t>provinces maritimes</t>
  </si>
  <si>
    <t>Zrównoważona odbudowa na Ukrainie</t>
  </si>
  <si>
    <t>Obszar miejski Irpin</t>
  </si>
  <si>
    <t>Zrównoważona odbudowa w Chile</t>
  </si>
  <si>
    <t>Zrównoważona odbudowa w prowincjach nadmorskich</t>
  </si>
  <si>
    <t>prowincje nadmorskie</t>
  </si>
  <si>
    <t>Стала реконструкція в Україні</t>
  </si>
  <si>
    <t>Міський район Ірпінь</t>
  </si>
  <si>
    <t>Стала реконструкція в Чилі</t>
  </si>
  <si>
    <t>Темуко, Чилі</t>
  </si>
  <si>
    <t>Стала реконструкція в морських провінціях</t>
  </si>
  <si>
    <t>Приморські провінції</t>
  </si>
  <si>
    <t>Sustainable Reconstruction in Ukraine</t>
  </si>
  <si>
    <t>Irpin urban area</t>
  </si>
  <si>
    <t>Sustainable Reconstruction in Chile</t>
  </si>
  <si>
    <t>Sustainable Reconstruction in Maritime Provinces</t>
  </si>
  <si>
    <t>Maritime Provinces, Canada</t>
  </si>
  <si>
    <t>Nuclear power plant</t>
  </si>
  <si>
    <t>Гідроелектростанції</t>
  </si>
  <si>
    <t xml:space="preserve">Атомна електростанція </t>
  </si>
  <si>
    <t>Elektrownie wodne, każda</t>
  </si>
  <si>
    <t>Elektrownia jądrowa</t>
  </si>
  <si>
    <t>Centrales hydroélectriques</t>
  </si>
  <si>
    <t>Centrale nucléaire</t>
  </si>
  <si>
    <t>Hidroelektrik santraller</t>
  </si>
  <si>
    <t>Nükleer santral</t>
  </si>
  <si>
    <t>Centrales hidroeléctricas</t>
  </si>
  <si>
    <t>Central nuclear</t>
  </si>
  <si>
    <t>Wasserkraftwerke</t>
  </si>
  <si>
    <t>Kernkraftwerk</t>
  </si>
  <si>
    <t>Вугільні електростанції</t>
  </si>
  <si>
    <t xml:space="preserve">Elektrownie węglowe o mocy </t>
  </si>
  <si>
    <t>Centrales au charbon</t>
  </si>
  <si>
    <t>Kömür santralleri</t>
  </si>
  <si>
    <t>Centrales eléctricas de carbón</t>
  </si>
  <si>
    <t>Kohlekraftwerke</t>
  </si>
  <si>
    <t>Police/fire station</t>
  </si>
  <si>
    <t>Поліція/пожежна станція</t>
  </si>
  <si>
    <t>Policja/straż pożarna</t>
  </si>
  <si>
    <t>Poste de police/pompiers</t>
  </si>
  <si>
    <t>Polis/itfaiye</t>
  </si>
  <si>
    <t>estación de policía/bomberos</t>
  </si>
  <si>
    <t>Polizei/Feuerwehr</t>
  </si>
  <si>
    <t>Detention facilities</t>
  </si>
  <si>
    <t>Hafteinrichtungen</t>
  </si>
  <si>
    <t>Instalaciones de detención</t>
  </si>
  <si>
    <t>Gözaltı tesisleri</t>
  </si>
  <si>
    <t>Centres de détention</t>
  </si>
  <si>
    <t>Zakłady zatrzymań</t>
  </si>
  <si>
    <t>в'язниця</t>
  </si>
  <si>
    <t>Auto service stations</t>
  </si>
  <si>
    <t>автомобільнийmСТО</t>
  </si>
  <si>
    <t>Stacje obsługi samochodów</t>
  </si>
  <si>
    <t>Stations-service automobiles</t>
  </si>
  <si>
    <t>Otomobil servis istasyonları</t>
  </si>
  <si>
    <t>Estaciones de servicio de automóviles</t>
  </si>
  <si>
    <t>Autowerkstätten</t>
  </si>
  <si>
    <t>Cinemas</t>
  </si>
  <si>
    <t>Performing arts</t>
  </si>
  <si>
    <t>Convention Centre</t>
  </si>
  <si>
    <t>кінотеатри</t>
  </si>
  <si>
    <t>Виконавські види мистецтва</t>
  </si>
  <si>
    <t>Конференц-центр</t>
  </si>
  <si>
    <t>Kina</t>
  </si>
  <si>
    <t>Sztuki sceniczne</t>
  </si>
  <si>
    <t>Centrum Kongresowe</t>
  </si>
  <si>
    <t>Cinémas</t>
  </si>
  <si>
    <t>Arts performants</t>
  </si>
  <si>
    <t>Centre de convention</t>
  </si>
  <si>
    <t>sinemalar</t>
  </si>
  <si>
    <t>Performans sanatları</t>
  </si>
  <si>
    <t>Kongre Merkezi</t>
  </si>
  <si>
    <t>Cines</t>
  </si>
  <si>
    <t>Las artes escénicas</t>
  </si>
  <si>
    <t>Centro de convención</t>
  </si>
  <si>
    <t>Kinos</t>
  </si>
  <si>
    <t>Darstellende Künste</t>
  </si>
  <si>
    <t>Kongresszentrum</t>
  </si>
  <si>
    <t>Open sports field</t>
  </si>
  <si>
    <t>Multi-function sports facility</t>
  </si>
  <si>
    <t>Specialized sports facility</t>
  </si>
  <si>
    <t xml:space="preserve">Багатофункціональна спортивна </t>
  </si>
  <si>
    <t>Спеціалізована спортивна споруда</t>
  </si>
  <si>
    <t>Відкритий спортивний майданчик</t>
  </si>
  <si>
    <t>Wielofunkcyjny obiekt sportowy</t>
  </si>
  <si>
    <t>Specjalistyczny obiekt sportowy</t>
  </si>
  <si>
    <t>Otwarte boisko sportowe</t>
  </si>
  <si>
    <t>Installation sportive multifonctionnelle</t>
  </si>
  <si>
    <t>Installation sportive spécialisée</t>
  </si>
  <si>
    <t>Terrain de sport ouvert</t>
  </si>
  <si>
    <t>Çok fonksiyonlu spor tesisi</t>
  </si>
  <si>
    <t>Özel spor tesisi</t>
  </si>
  <si>
    <t>Açık spor sahası</t>
  </si>
  <si>
    <t>Polideportivo polivalente</t>
  </si>
  <si>
    <t>Instalación deportiva especializada</t>
  </si>
  <si>
    <t>campo de deportes abierto</t>
  </si>
  <si>
    <t>Multifunktionale Sportanlage</t>
  </si>
  <si>
    <t>Spezialisierte Sportanlage</t>
  </si>
  <si>
    <t>Offener Sportplatz</t>
  </si>
  <si>
    <t>Percent affected</t>
  </si>
  <si>
    <t>Unit type</t>
  </si>
  <si>
    <t>Actions</t>
  </si>
  <si>
    <t>Surface water</t>
  </si>
  <si>
    <t>Total Damage Level scores in this category</t>
  </si>
  <si>
    <t>Total Damage Impact scores in this category</t>
  </si>
  <si>
    <t>Military airport</t>
  </si>
  <si>
    <t>Civilian airport</t>
  </si>
  <si>
    <t>Average Priority Score in category</t>
  </si>
  <si>
    <t>OEQ</t>
  </si>
  <si>
    <t>Ratio of Priority score totals in this Category to all Categories</t>
  </si>
  <si>
    <t>Weighted Category damage score = K*N</t>
  </si>
  <si>
    <t>Average damage Severity Level Score</t>
  </si>
  <si>
    <t>Major energy upgrade</t>
  </si>
  <si>
    <t>Rebuild on same site</t>
  </si>
  <si>
    <t>Energy system upgrade</t>
  </si>
  <si>
    <t>Moderate repair</t>
  </si>
  <si>
    <t>Urban tree grove(s)</t>
  </si>
  <si>
    <t>Natural landscape</t>
  </si>
  <si>
    <t>District heating plant</t>
  </si>
  <si>
    <t>District heating distribution</t>
  </si>
  <si>
    <t>Major repair / replace</t>
  </si>
  <si>
    <t>Health or life safety</t>
  </si>
  <si>
    <t>Park/landscape</t>
  </si>
  <si>
    <t>Sports field</t>
  </si>
  <si>
    <t>Purify / Decontaminate</t>
  </si>
  <si>
    <t>High-voltage elec. distribution</t>
  </si>
  <si>
    <t>Low voltage elec. distribution</t>
  </si>
  <si>
    <t>Electric sub-station</t>
  </si>
  <si>
    <t>DC charging station</t>
  </si>
  <si>
    <t>Fibre telecom network</t>
  </si>
  <si>
    <t>Combined water/sewage system</t>
  </si>
  <si>
    <t>Train signalling system</t>
  </si>
  <si>
    <t>Road signalling system</t>
  </si>
  <si>
    <t>MURB building =&lt; 3 floors</t>
  </si>
  <si>
    <t>MURB building 4+ floors</t>
  </si>
  <si>
    <t>Water treatment &amp; pumping</t>
  </si>
  <si>
    <t>Sewage treatment &amp; pumping</t>
  </si>
  <si>
    <t>Dismantle for re-use</t>
  </si>
  <si>
    <t>Demolish for disposal</t>
  </si>
  <si>
    <t>Minor repair / remediate</t>
  </si>
  <si>
    <t>Surface debris or flood</t>
  </si>
  <si>
    <t xml:space="preserve">Top soil </t>
  </si>
  <si>
    <t>Пошкодження =&gt; 80% (total)</t>
  </si>
  <si>
    <t>Пошкодження = 60-80%</t>
  </si>
  <si>
    <t>Пошкодження = 40-60%</t>
  </si>
  <si>
    <t>Пошкодження = 20-40%</t>
  </si>
  <si>
    <t>Пошкодження = 10-20%</t>
  </si>
  <si>
    <t>Пошкодження =&lt;10%</t>
  </si>
  <si>
    <t>Szkoda =&gt; 80% (total)</t>
  </si>
  <si>
    <t>Szkoda = 60-80%</t>
  </si>
  <si>
    <t>Szkoda = 40-60%</t>
  </si>
  <si>
    <t>Szkoda = 20-40%</t>
  </si>
  <si>
    <t>Szkoda = 10-20%</t>
  </si>
  <si>
    <t>Szkoda =&lt;10%</t>
  </si>
  <si>
    <t>Dégâts =&gt; 80% (total)</t>
  </si>
  <si>
    <t>Dégâts = 60-80%</t>
  </si>
  <si>
    <t>Dégâts = 40-60%</t>
  </si>
  <si>
    <t>Dégâts = 20-40%</t>
  </si>
  <si>
    <t>Dégâts = 10-20%</t>
  </si>
  <si>
    <t>Dégâts =&lt;10%</t>
  </si>
  <si>
    <t>Daño =&gt; 80% (total)</t>
  </si>
  <si>
    <t>Daño = 60-80%</t>
  </si>
  <si>
    <t>Daño = 40-60%</t>
  </si>
  <si>
    <t>Daño = 20-40%</t>
  </si>
  <si>
    <t>Daño = 10-20%</t>
  </si>
  <si>
    <t>Daño =&lt;10%</t>
  </si>
  <si>
    <t>Schaden =&gt; 80% (total)</t>
  </si>
  <si>
    <t>Schaden = 60-80%</t>
  </si>
  <si>
    <t>Schaden = 40-60%</t>
  </si>
  <si>
    <t>Schaden = 20-40%</t>
  </si>
  <si>
    <t>Schaden = 10-20%</t>
  </si>
  <si>
    <t>Schaden =&lt;10%</t>
  </si>
  <si>
    <t>Importance
1 - 5</t>
  </si>
  <si>
    <t>Severity  
1 - 5</t>
  </si>
  <si>
    <t>Public utilities and services</t>
  </si>
  <si>
    <t>Local shopping centre</t>
  </si>
  <si>
    <t>Regional shopping centre</t>
  </si>
  <si>
    <t>Clean manufacturing</t>
  </si>
  <si>
    <t>Industrial</t>
  </si>
  <si>
    <t>Health facilities</t>
  </si>
  <si>
    <t>Public buildings</t>
  </si>
  <si>
    <t>Commercial facilities</t>
  </si>
  <si>
    <t>Student housing</t>
  </si>
  <si>
    <t xml:space="preserve">Self-storage facility </t>
  </si>
  <si>
    <t>Public building</t>
  </si>
  <si>
    <t>Court house</t>
  </si>
  <si>
    <t>Official residence</t>
  </si>
  <si>
    <t>National Library</t>
  </si>
  <si>
    <t>Local Library</t>
  </si>
  <si>
    <t>Training facility</t>
  </si>
  <si>
    <t>Health Facilities</t>
  </si>
  <si>
    <t>Structure</t>
  </si>
  <si>
    <t>Area and/or quantity assessed</t>
  </si>
  <si>
    <t>Aggregate Damage</t>
  </si>
  <si>
    <t>m2</t>
  </si>
  <si>
    <t>Office building 4-15 floors</t>
  </si>
  <si>
    <t>Office building 16+ floors</t>
  </si>
  <si>
    <r>
      <rPr>
        <sz val="11"/>
        <color theme="1"/>
        <rFont val="Calibri"/>
        <family val="2"/>
      </rPr>
      <t xml:space="preserve">Selections and values are  hypothetical and are only intended to show how the system could work.  
</t>
    </r>
    <r>
      <rPr>
        <sz val="10"/>
        <color theme="1"/>
        <rFont val="Calibri-Light"/>
        <family val="2"/>
      </rPr>
      <t>Click on blue cells to select from lists.  Enter text or data in yellow cells but NOT in other cells, since most of them contain formulas. Don't forget to use the 3 buttons in upper left corner to see levels of detail.</t>
    </r>
  </si>
  <si>
    <t>Houses and housing</t>
  </si>
  <si>
    <t>Long-term care homes (LTC)</t>
  </si>
  <si>
    <t>Other health facility</t>
  </si>
  <si>
    <t>Other Education Facility</t>
  </si>
  <si>
    <t>Other commercial facility</t>
  </si>
  <si>
    <t>Other industrial facility</t>
  </si>
  <si>
    <t>Industrial Facilities</t>
  </si>
  <si>
    <t>Priority 
1 - 5</t>
  </si>
  <si>
    <t>Building Envelope</t>
  </si>
  <si>
    <t>Lifts or escalators</t>
  </si>
  <si>
    <t>Building component</t>
  </si>
  <si>
    <t>Exterior glazing</t>
  </si>
  <si>
    <t>Outdoor Env. Quality</t>
  </si>
  <si>
    <t>Indoor Env. Quality</t>
  </si>
  <si>
    <t>Total
Qty</t>
  </si>
  <si>
    <t>Aggregate damage, all cases</t>
  </si>
  <si>
    <t>Single building</t>
  </si>
  <si>
    <t>Other residential buildings</t>
  </si>
  <si>
    <t>Est. Repair cost</t>
  </si>
  <si>
    <t>Total m Euro</t>
  </si>
  <si>
    <t>All</t>
  </si>
  <si>
    <t>Avg. gross area / MURB</t>
  </si>
  <si>
    <t>Avg. gross area / building</t>
  </si>
  <si>
    <t>Aggregate area, m2</t>
  </si>
  <si>
    <t>Wind turbine farm</t>
  </si>
  <si>
    <t>Avg. MW output</t>
  </si>
  <si>
    <t>MW</t>
  </si>
  <si>
    <t>Aggregate output, MW</t>
  </si>
  <si>
    <t>Avg. vol. 000 L / hour</t>
  </si>
  <si>
    <t>Aggregate volume</t>
  </si>
  <si>
    <t>Avg. length</t>
  </si>
  <si>
    <t>Aggregate length</t>
  </si>
  <si>
    <t>km</t>
  </si>
  <si>
    <t>Avg. length, km.</t>
  </si>
  <si>
    <t>Aggregate area</t>
  </si>
  <si>
    <t>Gross area</t>
  </si>
  <si>
    <t>Промислові об'єкти</t>
  </si>
  <si>
    <t>Endüstriyel Tesisler</t>
  </si>
  <si>
    <t>Öffentliche Gebäude</t>
  </si>
  <si>
    <t>Громадські будівлі</t>
  </si>
  <si>
    <t>Budynki publiczne</t>
  </si>
  <si>
    <t>Bâtiments publiques</t>
  </si>
  <si>
    <t>Kamu binaları</t>
  </si>
  <si>
    <t>Edificios públicos</t>
  </si>
  <si>
    <t>офіційна резиденція</t>
  </si>
  <si>
    <t>oficjalna rezydencja</t>
  </si>
  <si>
    <t>résidence officielle</t>
  </si>
  <si>
    <t>resmi ikametgah</t>
  </si>
  <si>
    <t>Residencia oficial</t>
  </si>
  <si>
    <t>offizieller Wohnsitz</t>
  </si>
  <si>
    <t>Avg. area / dwelling</t>
  </si>
  <si>
    <t>km3</t>
  </si>
  <si>
    <t>Aggregate volume, km3</t>
  </si>
  <si>
    <t>Пошкодження ключових міських елементів та інфраструктури</t>
  </si>
  <si>
    <t>Пошкодження будівлі (будівель) і основних будівельних компонентів</t>
  </si>
  <si>
    <t>Dommages aux éléments et infrastructures urbains clés</t>
  </si>
  <si>
    <t>Dommages au(x) bâtiment(s) et aux éléments clés du bâtiment</t>
  </si>
  <si>
    <t>Bina(lar)da ve temel yapı bileşenlerinde hasar</t>
  </si>
  <si>
    <t>Daños a edificios y componentes clave del edificio</t>
  </si>
  <si>
    <t>Schäden an Gebäude(n) und wichtigen Gebäudekomponenten</t>
  </si>
  <si>
    <t>Aktionen</t>
  </si>
  <si>
    <t>Geschätzte Reparaturkosten</t>
  </si>
  <si>
    <t>Comportamiento</t>
  </si>
  <si>
    <t>Costo estimado de reparación</t>
  </si>
  <si>
    <t>Дії</t>
  </si>
  <si>
    <t>Орієнтовна вартість ремонту</t>
  </si>
  <si>
    <t>Szacowany koszt naprawy</t>
  </si>
  <si>
    <t>Działania</t>
  </si>
  <si>
    <t>Coût de réparation estimé</t>
  </si>
  <si>
    <t>Tahmini Onarım maliyeti</t>
  </si>
  <si>
    <t>Total m. Euro</t>
  </si>
  <si>
    <t>Toplam m. Euro</t>
  </si>
  <si>
    <t>Total m. euro</t>
  </si>
  <si>
    <t>Razem m. Euro</t>
  </si>
  <si>
    <t>Всього м. Євро</t>
  </si>
  <si>
    <t>m totales Euro</t>
  </si>
  <si>
    <t>Gesamtm. Euro</t>
  </si>
  <si>
    <t>Інформація про головний елемент і піделементи</t>
  </si>
  <si>
    <t>Тип агрегату</t>
  </si>
  <si>
    <t>Typ jednostki</t>
  </si>
  <si>
    <t>Informations sur l'élément principal et les sous-éléments</t>
  </si>
  <si>
    <t>Type d'unité</t>
  </si>
  <si>
    <t>Ana eleman ve alt elemanlar hakkında bilgi</t>
  </si>
  <si>
    <t>Birim tipi</t>
  </si>
  <si>
    <t>Tipo de unidad</t>
  </si>
  <si>
    <t>Gerätetyp</t>
  </si>
  <si>
    <t>Action category 
A-G</t>
  </si>
  <si>
    <t>Several Categories</t>
  </si>
  <si>
    <t>Applicable to:</t>
  </si>
  <si>
    <t>Notes</t>
  </si>
  <si>
    <t>Control systems</t>
  </si>
  <si>
    <t>Plumbing systems</t>
  </si>
  <si>
    <t>Boiler / heat generation</t>
  </si>
  <si>
    <t>MWh</t>
  </si>
  <si>
    <t>Avg. MWh capacity</t>
  </si>
  <si>
    <t>Усі будівлі Категорії</t>
  </si>
  <si>
    <t>Одномісний будинок</t>
  </si>
  <si>
    <t>Будівельний компонент</t>
  </si>
  <si>
    <t>Wszystkie budynki w kategorii</t>
  </si>
  <si>
    <t>Pojedynczy budynek</t>
  </si>
  <si>
    <t>Tous les bâtiments de la catégorie</t>
  </si>
  <si>
    <t>Bâtiment unique</t>
  </si>
  <si>
    <t>Composant de construction</t>
  </si>
  <si>
    <t>Kategorideki tüm binalar</t>
  </si>
  <si>
    <t>Tek bina</t>
  </si>
  <si>
    <t>Bina bileşeni</t>
  </si>
  <si>
    <t>Todos los edificios en Categoría</t>
  </si>
  <si>
    <t>Edificio individual</t>
  </si>
  <si>
    <t>componente de construcción</t>
  </si>
  <si>
    <t>Alle Gebäude in Kategorie</t>
  </si>
  <si>
    <t>Einzelnes Gebäude</t>
  </si>
  <si>
    <t>Bauteil</t>
  </si>
  <si>
    <t>Конверт будівлі</t>
  </si>
  <si>
    <t>Зовнішнє скління</t>
  </si>
  <si>
    <t>Водопровідні системи</t>
  </si>
  <si>
    <t>Котел / теплогенерація</t>
  </si>
  <si>
    <t>Системи управління</t>
  </si>
  <si>
    <t>Ліфти або ескалатори</t>
  </si>
  <si>
    <t>Koperta budowlana</t>
  </si>
  <si>
    <t>Przeszklenie zewnętrzne</t>
  </si>
  <si>
    <t>Systemy hydrauliczne</t>
  </si>
  <si>
    <t>Kocioł / wytwarzanie ciepła</t>
  </si>
  <si>
    <t>Systemy kontrolne</t>
  </si>
  <si>
    <t>Windy lub schody ruchome</t>
  </si>
  <si>
    <t>L'enveloppe du bâtiment</t>
  </si>
  <si>
    <t>Vitrage extérieur</t>
  </si>
  <si>
    <t>Systèmes de plomberie</t>
  </si>
  <si>
    <t>Chaudière / production de chaleur</t>
  </si>
  <si>
    <t>Systèmes de contrôle</t>
  </si>
  <si>
    <t>Ascenseurs ou escaliers mécaniques</t>
  </si>
  <si>
    <t>Bina kaplaması</t>
  </si>
  <si>
    <t>Dış cam</t>
  </si>
  <si>
    <t>sıhhi tesisat sistemleri</t>
  </si>
  <si>
    <t>Kazan / ısı üretimi</t>
  </si>
  <si>
    <t>Kontrol sistemleri</t>
  </si>
  <si>
    <t>Asansörler veya yürüyen merdivenler</t>
  </si>
  <si>
    <t>Envoltura de construccion</t>
  </si>
  <si>
    <t>Acristalamiento exterior</t>
  </si>
  <si>
    <t>Sistemas de fontanería</t>
  </si>
  <si>
    <t>Caldera / generación de calor</t>
  </si>
  <si>
    <t>Sistemas de control</t>
  </si>
  <si>
    <t>Ascensores o escaleras mecánicas</t>
  </si>
  <si>
    <t>Gebäudehülle</t>
  </si>
  <si>
    <t>Außenverglasung</t>
  </si>
  <si>
    <t>Sanitärsysteme</t>
  </si>
  <si>
    <t>Kessel / Wärmeerzeugung</t>
  </si>
  <si>
    <t>Kontroll systeme</t>
  </si>
  <si>
    <t>Aufzüge oder Rolltreppen</t>
  </si>
  <si>
    <t>Total punktet in dieser Kategorie</t>
  </si>
  <si>
    <t>Puntuaciones de nivel de daño total en esta categoría</t>
  </si>
  <si>
    <t>Puntuaciones de impacto de daño total en esta categoría</t>
  </si>
  <si>
    <t>Scores de niveau de dégâts totaux dans cette catégorie</t>
  </si>
  <si>
    <t>Scores d'impact total des dégâts dans cette catégorie</t>
  </si>
  <si>
    <t>Całkowite wyniki poziomu uszkodzeń w tej kategorii</t>
  </si>
  <si>
    <t>Całkowite wyniki Uszkodzenia w tej kategorii</t>
  </si>
  <si>
    <t>Загальний рівень шкоди в цій категорії</t>
  </si>
  <si>
    <t>Загальна кількість балів у цій категорії</t>
  </si>
  <si>
    <t>Ukrayna'da Sürdürülebilir Yeniden Yapılanma için Hasar Değerlendirmesi</t>
  </si>
  <si>
    <t>Deniz Kenarı Şehirlerde Sürdürülebilir İmar</t>
  </si>
  <si>
    <t>Kanadadaki Deniz Kenarı Şehirler</t>
  </si>
  <si>
    <t>Önemli kentsel unsurlarda ve altyapıda hasar</t>
  </si>
  <si>
    <t>Aksiyonlar</t>
  </si>
  <si>
    <t>Bu bölümdeki Ağırlıkların tüm ağırlıklara oranı</t>
  </si>
  <si>
    <t>Deniz seviyesinin yükselmesi</t>
  </si>
  <si>
    <t>Etkilenen alan ve/veya miktar</t>
  </si>
  <si>
    <t>2. Kentsel alanlara iklim değişikliği etkilerinden, depremlerden veya askeri harekatlardan gelecek zararları en aza indirmeyi sağlayın</t>
  </si>
  <si>
    <t>Nehir taşması (taşkın) / şiddetli yağmur</t>
  </si>
  <si>
    <t>Dış Mekan Çevre Kalitesi</t>
  </si>
  <si>
    <t>Kasırga / siklon / fırtına dalgaları (tsunami)</t>
  </si>
  <si>
    <t>Yapılara ve içeriklere yapısal ve su kaynaklı hasar</t>
  </si>
  <si>
    <t>4. Kentsel miras alanlarını, tarihi binaları ve anıtları koruyun</t>
  </si>
  <si>
    <t>İnsanlar sağlığına ve ekolojiye hasar veren aşırı sıcaklıklar</t>
  </si>
  <si>
    <t>İnsanlara yönelik can güvenliği tehditleri ve ekolojiye uzun vadeli zarar</t>
  </si>
  <si>
    <t>iiSBE Sürdürülebilir Yeniden Yapılanma Aracı (SBTool)</t>
  </si>
  <si>
    <t>6. Konut, kamu tesisleri ve altyapı sistemlerinin optimum işlevsellik ve enerji performansı seviyesinde çalışabilmelerini sağlamak</t>
  </si>
  <si>
    <t>Toplam hasar, tüm durumlar için</t>
  </si>
  <si>
    <t>Yapılara ve içindekilere yangın ve duman hasarı; ekolojik hasar</t>
  </si>
  <si>
    <t>Toplam Hasar</t>
  </si>
  <si>
    <t>8. Konut, kamu tesisleri ve kamu hizmetlerinin yaşam döngüsü yatırım maliyetlerini en aza indirin</t>
  </si>
  <si>
    <t>Yapılara ve içindekilere yapısal hasar</t>
  </si>
  <si>
    <t>Hasar =&gt; 80% (total)</t>
  </si>
  <si>
    <t>9. Enerji ve su kullanımı açısından birbirlerinin tüketimini (fazlalıklarını ve açıklarını) dengeleyen, farklı bina tiplerinden oluşan sinerji bölgeleri (kümeleri) oluşturun.</t>
  </si>
  <si>
    <t>Hasar = 60-80%</t>
  </si>
  <si>
    <t>Büyük yeniden yapılanma / yeniyle değiştirme</t>
  </si>
  <si>
    <t>10. Araziyi korumak ve hava kalitesini iyileştirmek için özel ulaşımdan toplu taşımaya geçiş yapın</t>
  </si>
  <si>
    <t>Hasar = 40-60%</t>
  </si>
  <si>
    <t>Enerji sistemleri model yükseltmeleri</t>
  </si>
  <si>
    <t>Hasar = 20-40%</t>
  </si>
  <si>
    <t>Büyük enerji sistemi iyileştirmesi</t>
  </si>
  <si>
    <t>12. Tüm enerji kullanan tesis ve ekipmanların üretimi ve işletilmesi esnasında tüketilen enerjiyi en aza indirin</t>
  </si>
  <si>
    <t>Hasar = 10-20%</t>
  </si>
  <si>
    <t>Aynı alanda yeniden inşa etme</t>
  </si>
  <si>
    <t>13. Yeni inşaatlarda yenilenebilir olmayan malzemelerin kullanımını en aza indirin ve geri kazanılan malzemeleri, yeniden kullanım veya geri dönüşümü için etkin bir şekilde kullanın</t>
  </si>
  <si>
    <t>Hasar =&lt;10%</t>
  </si>
  <si>
    <t>Yeni alanda yeniden inşa etme</t>
  </si>
  <si>
    <t>14. Yeni inşaatlarda yenilenebilir olmayan malzemelerin kullanımını en aza indirin ve geri kazanılan malzemeleri, yeniden kullanım veya geri dönüşüm için etkin bir şekilde kullanın</t>
  </si>
  <si>
    <t>İklim değişikliği, depremler veya diğer doğal afetlerle ilgili nedensel faktörler
Deniz seviyesi yükselmesi
Nehir taşkınları / şiddetli yağmur / sel felaketi
Kasırga / siklon
Kentsel ısı adası
Kimyasal veya radyasyon kazaları
Kuraklık
Orman yangını
Deprem</t>
  </si>
  <si>
    <t>Bu kategorideki Toplam Hasar Seviyesi puanı</t>
  </si>
  <si>
    <t>Bu kategorideki Toplam Hasar Etkisi puanı</t>
  </si>
  <si>
    <t>Ana metin için dil seçin</t>
  </si>
  <si>
    <t>Toprak ve arazi/alan</t>
  </si>
  <si>
    <t>Kategorinin Ağırlıklı Hasar Skoru= K*N</t>
  </si>
  <si>
    <t>Kamu hizmetleri ve altyapı</t>
  </si>
  <si>
    <t>Endüstriyel</t>
  </si>
  <si>
    <t>Kategorideki Ortalama Öncelik Puanı</t>
  </si>
  <si>
    <t>Ortalama Hasar Önem Düzeyi Puanı</t>
  </si>
  <si>
    <t xml:space="preserve">Önem 1 - 5 </t>
  </si>
  <si>
    <t>Evler ve Konutlar</t>
  </si>
  <si>
    <t>Olay sonrası
hasar seviyesi
 (hücre başına bir tane seçin)</t>
  </si>
  <si>
    <t>Öncelik 1 - 5</t>
  </si>
  <si>
    <t>Sağlık biirimleri</t>
  </si>
  <si>
    <t>Seçimler ve değerler tamamen varsayımsaldır ve yalnızca sistemin nasıl çalışabileceğini göstermeyi amaçlar.
Listelerden seçim yapmak için mavi hücrelere tıklayın. Yalnızca Sarı hücrelere veri girin, diğer hücrelerin çoğu formül içerdiğinden diğer hücrelere veri GİRMEYİN.
Ayrıntı seviyelerini görmek için sol üst köşedeki 3 düğmeyi kullanmayı unutmayın.</t>
  </si>
  <si>
    <t>Şiddet
1 - 5</t>
  </si>
  <si>
    <t>Ticari birimler</t>
  </si>
  <si>
    <t>Diğer Bina Yapıları</t>
  </si>
  <si>
    <t>Bina Bileşenleri ve Montaj Elemanları</t>
  </si>
  <si>
    <t>Seçilen proje başlıkları</t>
  </si>
  <si>
    <t>Ukrayna işgali başlıkları</t>
  </si>
  <si>
    <t>Rusya'nın geniş çaplı askeri müdahalesinin başlamasından bu yana, Ukrayna'nın ekonomik ve çevresel gelişimi saldırı altındadır ve bağımsız, yeşil ve sürdürülebilir bir Ukrayna için umutları karartmaktadır. On binlerce hayat kaybedildi ve buna bağlı insani kriz nedeniyle, Ukrayna'nın hem içinde hem de dışında çok sayıda insan kuşatıldı ya da yerinden edildi. Savaşın ekonomik etkileri de yıkıcı oldu. Altyapı, konut ve konut dışı binalara yönelik son tahminlere göre, evlerin, yolların ve demiryollarının yanı sıra tarım arazilerinin ve ülkenin diğer üretim kapasitesinin büyük ölçüde tahrip olmasıyla birlikte zarar, 100 milyar ABD dolarını aşıyor.
Ukraynada, askeri operasyonlar nedeniyle atık seviyesinin önemli ölçüde arttığı görülmektedir. Atıklar genel olarak, hasar görmüş veya terk edilmiş askeri araç ve teçhizat, mühimmat parçaları, sivil araçlar ve bina enkazından oluşmaktadır. Atıklar arasında ayrıca, toplanmayan evsel ve tıbbi atıklar da bulunmaktadır. Bu atıklar arasında örneğin tıbbi atıklar, ambalajlar zehirli olabilir ve özel işlem, nakliye ve bertaraf gerektirir. Bina enkazı ayrıca asbest gibi zehirli maddeler de içerebilir...
     Kaynak: Savaş Ukrayna'nın çevresini nasıl etkiledi?; OECD 25 Temmuz 2022</t>
  </si>
  <si>
    <t>Yalnızca sarı renkli hücrelerde veri girişi ve değişiklik yapınız. Diğer hücrelerde değişiklik yapmayınız.</t>
  </si>
  <si>
    <t>Bu dosya, Ukrayna'nın sürdürülebilir yeniden inşası ile ilgilenen Orta Avrupa ülkelerinden yaklaşık bir düzine iiSBE üyesi ve diğer meslektaşlar tarafından geliştirilmektedir. Dosya, olay yerine daha yakın kuruluşlara, savaştan kaynaklanan hasarı ve yeniden yapılanma yaklaşımlarını basitleştirilmiş bir şekilde tanımlayabilmeyi amaçlamaktadır.
Dosya, sel, fırtına, yangın ve deprem olayları gibi diğer doğal afetlerin neden olduğu hasarı karakterize etmek için de kullanılabilecek şekilde yapılandırılmıştır. Dosya, daha sonra uygun linklerle (SNTool) mahalle veya (SBTool) binalar için sürdürülebilirlik performans hedefleri oluşturmak üzere tasarlanmış iiSBE araçları ile ilişkilendirilecektir.</t>
  </si>
  <si>
    <t>Bu bölümdeki bu renkteki metin kutuları, dosyanın bu sürümünde kullanılan önemli başlıkları içerir. Aynı renkteki hücrelere yeni başlıklar girebilirsiniz.</t>
  </si>
  <si>
    <t xml:space="preserve">This file is intended to provide a way for building-sector professionals to develop approximate estimates of damage to urban areas or buildings caused by military action, earthquakes or climate change impacts, such as windstorms, wildfire areas, sea level rise, riverine flooding, urban heat islands.
   Selections and values are  hypothetical and are only intended to show how the system could work. The results should therefore be seen as preliminary and very approximate indications of damage costs. Also, sustainable reconstruction will require that this damage assessment tool be complemented by other files, such as SNTool or SBTool, that will provide indications of the most effective planning and design approached.
   Click on blue cells to select from lists.  Enter text or data in yellow cells but NOT in other cells, since most of them contain formulas. </t>
  </si>
  <si>
    <t>km2</t>
  </si>
  <si>
    <t xml:space="preserve">Arbitrary assumption for atmospheric volume based on surface area x 1 km = 1100 km3 </t>
  </si>
  <si>
    <t>Geschätzte Euro</t>
  </si>
  <si>
    <t>Euros estimados</t>
  </si>
  <si>
    <t>Tahmini Euro</t>
  </si>
  <si>
    <t>Estimation Euro</t>
  </si>
  <si>
    <t>Szacunkowe euro</t>
  </si>
  <si>
    <t>Орієнтовна євро</t>
  </si>
  <si>
    <t>Source: Google maps</t>
  </si>
  <si>
    <t>Coal thermal power plant</t>
  </si>
  <si>
    <t>Hydroelectric power plant</t>
  </si>
  <si>
    <t>Mwe</t>
  </si>
  <si>
    <t>Avg. MWe output</t>
  </si>
  <si>
    <t>Solar PV farm</t>
  </si>
  <si>
    <t>Aggregate MWp output</t>
  </si>
  <si>
    <t>Aggregate area, km2.</t>
  </si>
  <si>
    <t>Area, km2</t>
  </si>
  <si>
    <t>Volume, km3</t>
  </si>
  <si>
    <t>ha.</t>
  </si>
  <si>
    <t>Per unit</t>
  </si>
  <si>
    <t>Aggregate length, km.</t>
  </si>
  <si>
    <t>km.</t>
  </si>
  <si>
    <t>kV</t>
  </si>
  <si>
    <t>Avg. kV output</t>
  </si>
  <si>
    <t>Aggregate kV output</t>
  </si>
  <si>
    <t>Km. Length</t>
  </si>
  <si>
    <t>Aggregate Km. Length</t>
  </si>
  <si>
    <t>Aggregate track length</t>
  </si>
  <si>
    <t>Avg. track length</t>
  </si>
  <si>
    <t>Avg. area</t>
  </si>
  <si>
    <r>
      <t xml:space="preserve">Irpin City is an urban area that is adjacent to Kyiv. Irpin has a population of 65,167 (2022 report: </t>
    </r>
    <r>
      <rPr>
        <i/>
        <sz val="11"/>
        <color theme="1"/>
        <rFont val="Calibri-Light"/>
      </rPr>
      <t xml:space="preserve"> index.minfin.com.ua</t>
    </r>
    <r>
      <rPr>
        <sz val="11"/>
        <color theme="1"/>
        <rFont val="Calibri-Light"/>
        <family val="2"/>
      </rPr>
      <t>.) and a surface area of 110.8 km2.</t>
    </r>
  </si>
  <si>
    <t>Kategorideki yaklaşık onarım maliyetleri, m. Euro</t>
  </si>
  <si>
    <t>iiSBE Damage Assessment Tool</t>
  </si>
  <si>
    <t>Інструмент оцінки збитків iiSBE</t>
  </si>
  <si>
    <t>Narzędzie do oceny uszkodzeń iiSBE</t>
  </si>
  <si>
    <t>Outil d'évaluation des dommages iiSBE</t>
  </si>
  <si>
    <t>iiSBE Hasar Tespit Aracı</t>
  </si>
  <si>
    <t>Herramienta de evaluación de daños iiSBE</t>
  </si>
  <si>
    <t>iiSBE Schadensbewertungstool</t>
  </si>
  <si>
    <t>Earthquake damage</t>
  </si>
  <si>
    <t>Climate Change impacts</t>
  </si>
  <si>
    <t>вплив зміни клімату</t>
  </si>
  <si>
    <t>Auswirkungen des Klimawandels</t>
  </si>
  <si>
    <t>Impactos del cambio climático</t>
  </si>
  <si>
    <t>İklim Değişikliği etkileri</t>
  </si>
  <si>
    <t>Impacts du changement climatique</t>
  </si>
  <si>
    <t>Skutki zmiany klimatu</t>
  </si>
  <si>
    <t>Пошкодження від землетрусу</t>
  </si>
  <si>
    <t>Uszkodzenia spowodowane trzęsieniem ziemi</t>
  </si>
  <si>
    <t>Dégâts du tremblement de terre</t>
  </si>
  <si>
    <t>deprem hasarı</t>
  </si>
  <si>
    <t>Daños por terremoto</t>
  </si>
  <si>
    <t>Erdbebenschaden</t>
  </si>
  <si>
    <t>Blast damage to structures, building envelope or contents; Spread of shell fragments, debris and medical waste; Contamination of water bodies or topsoil</t>
  </si>
  <si>
    <t>Explosionsschäden an Bauwerken, Gebäudehülle oder Inhalt; Verbreitung von Granatsplittern, Trümmern und medizinischem Abfall; Verschmutzung von Gewässern oder Oberboden</t>
  </si>
  <si>
    <t>Daño por explosión a estructuras, envolvente o contenido del edificio; Propagación de fragmentos de proyectiles, escombros y desechos médicos; Contaminación de cuerpos de agua o suelo</t>
  </si>
  <si>
    <t>Yapılara, bina zarfına veya içeriğine patlama hasarı; Kabuk parçalarının, moSu kütlelerinin veya üst toprağın kirlenmesi; Su kütlelerinin veya üst toprağın kirlenmesi</t>
  </si>
  <si>
    <t>Dommages causés par le souffle aux structures, à l'enveloppe du bâtiment ou au contenu; Propagation de fragments d'obus, de débris et de déchets médicaux; Contamination des plans d'eau ou de la couche arable</t>
  </si>
  <si>
    <t>Uszkodzenia konstrukcji, obudowy lub wyposażenia budynków spowodowane wybuchami; Rozprzestrzenianie się fragmentów pocisków, gruzu i odpadów medycznych; Zanieczyszczenie zbiorników wodnych lub wierzchniej warstwy gleby</t>
  </si>
  <si>
    <t>Пошкодження об'єктів, огороджувальних конструкцій або внутрішнього обладнання; Розповсюдження осколків снарядів, уламків та медичних відходів; Забруднення водойм або верхнього шару ґрунту</t>
  </si>
  <si>
    <t>Military action</t>
  </si>
  <si>
    <t>Військові дії</t>
  </si>
  <si>
    <t>Akcja wojskowa</t>
  </si>
  <si>
    <t>Action militaire</t>
  </si>
  <si>
    <t>Askeri harekat</t>
  </si>
  <si>
    <t>Acción militar</t>
  </si>
  <si>
    <t>Militäraktion</t>
  </si>
  <si>
    <t>Potential effects</t>
  </si>
  <si>
    <t>Внести інформацію про тип і площу/кількість елементів, опис типу та розміру пошкодження; також загальна оцінка коштів, необхідних для відновлення початкових функцій елементів.</t>
  </si>
  <si>
    <t>Saisir les informations sur le type et la surface/quantité des éléments, les descriptions du type et l'étendue des dommages ; également des estimations approximatives des fonds nécessaires pour restaurer les éléments à leurs fonctions d'origine.</t>
  </si>
  <si>
    <t>Öğelerin türü ve alanı / miktarı, türün açıklamaları ve hasarın kapsamı hakkında bilgi girin; ayrıca öğeleri orijinal işlevlerine geri döndürmek için gereken fonların top-park tahminleri.</t>
  </si>
  <si>
    <t>Damaged building(s) and key building components</t>
  </si>
  <si>
    <t>Примітки</t>
  </si>
  <si>
    <t>Notatki</t>
  </si>
  <si>
    <t>Remarques</t>
  </si>
  <si>
    <t>notlar</t>
  </si>
  <si>
    <t>notas</t>
  </si>
  <si>
    <t>Anmerkungen</t>
  </si>
  <si>
    <t>Kasırga Sonrası Yeniden Yapılanma için Hasar Tespitleri</t>
  </si>
  <si>
    <t>Şili'de deprem sonrası yeniden yapılanma için Hasar Tespiti</t>
  </si>
  <si>
    <t>Evaluación de Daños para la Reconstrucción Post Terremoto en Chile</t>
  </si>
  <si>
    <t>Цивільний аеропорт</t>
  </si>
  <si>
    <t>Військовий аеропорт</t>
  </si>
  <si>
    <t>lotnisko cywilne</t>
  </si>
  <si>
    <t>Lotnisko wojskowe</t>
  </si>
  <si>
    <t>Aéroport civil</t>
  </si>
  <si>
    <t>Aéroport militaire</t>
  </si>
  <si>
    <t>Sivil havaalanı</t>
  </si>
  <si>
    <t>Askeri havaalanı</t>
  </si>
  <si>
    <t>aeropuerto civil</t>
  </si>
  <si>
    <t>aeropuerto militar</t>
  </si>
  <si>
    <t>Ziviler Flughafen</t>
  </si>
  <si>
    <t>Militärflughafen</t>
  </si>
  <si>
    <t>Місцева бібліотека</t>
  </si>
  <si>
    <t>Будинок суду</t>
  </si>
  <si>
    <t>Національна бібліотека ім</t>
  </si>
  <si>
    <t>Sąd</t>
  </si>
  <si>
    <t>Biblioteka Narodowa</t>
  </si>
  <si>
    <t>Lokalna biblioteka</t>
  </si>
  <si>
    <t>Palais de justice</t>
  </si>
  <si>
    <t>bibliothèque nationale</t>
  </si>
  <si>
    <t>Bibliothèque locale</t>
  </si>
  <si>
    <t>Adliye</t>
  </si>
  <si>
    <t>Ulusal Kütüphane</t>
  </si>
  <si>
    <t>Yerel kütüphane</t>
  </si>
  <si>
    <t>palacio de justicia</t>
  </si>
  <si>
    <t>Biblioteca Nacional</t>
  </si>
  <si>
    <t>Librería local</t>
  </si>
  <si>
    <t>Gerichtsgebäude</t>
  </si>
  <si>
    <t>Nationalbibliothek</t>
  </si>
  <si>
    <t>Lokale Bibliothek</t>
  </si>
  <si>
    <t>Заклади охорони здоров'я</t>
  </si>
  <si>
    <t>Obiekty zdrowotne</t>
  </si>
  <si>
    <t>Établissements de santé</t>
  </si>
  <si>
    <t>Sağlık tesisleri</t>
  </si>
  <si>
    <t>Instituciones de salud</t>
  </si>
  <si>
    <t>Gesundheitseinrichtungen</t>
  </si>
  <si>
    <t>Навчальні приміщення</t>
  </si>
  <si>
    <t>Education Facilities</t>
  </si>
  <si>
    <t>Obiekty edukacyjne</t>
  </si>
  <si>
    <t>Établissements d'enseignement</t>
  </si>
  <si>
    <t>Eğitim tesisleri</t>
  </si>
  <si>
    <t>Instalaciones educativas</t>
  </si>
  <si>
    <t>Bildungseinrichtungen</t>
  </si>
  <si>
    <t>Навчальний заклад</t>
  </si>
  <si>
    <t>Ośrodek szkoleniowy</t>
  </si>
  <si>
    <t>Centre de formation</t>
  </si>
  <si>
    <t>Eğitim Tesisi</t>
  </si>
  <si>
    <t>Centro de formación</t>
  </si>
  <si>
    <t>Ausbildungsstätte</t>
  </si>
  <si>
    <t>Інший навчальний заклад</t>
  </si>
  <si>
    <t>Inna placówka edukacyjna</t>
  </si>
  <si>
    <t>Autre établissement d'enseignement</t>
  </si>
  <si>
    <t>Diğer Eğitim Tesisi</t>
  </si>
  <si>
    <t>Otro centro educativo</t>
  </si>
  <si>
    <t>Andere Bildungseinrichtung</t>
  </si>
  <si>
    <t>Комерційні приміщення</t>
  </si>
  <si>
    <t>Obiekty handlowe</t>
  </si>
  <si>
    <t>Installations commerciales</t>
  </si>
  <si>
    <t>ticari tesisler</t>
  </si>
  <si>
    <t>Instalaciones comerciales</t>
  </si>
  <si>
    <t>Kommerzielle Einrichtungen</t>
  </si>
  <si>
    <t>Регіональний торговий центр</t>
  </si>
  <si>
    <t>Regionalne centrum handlowe</t>
  </si>
  <si>
    <t>Centre commercial régional</t>
  </si>
  <si>
    <t>bölgesel alışveriş merkezi</t>
  </si>
  <si>
    <t>centro comercial comarcal</t>
  </si>
  <si>
    <t>Regionales Einkaufszentrum</t>
  </si>
  <si>
    <t>Public Buildings</t>
  </si>
  <si>
    <t>Інший комерційний об'єкт</t>
  </si>
  <si>
    <t>Inny obiekt handlowy</t>
  </si>
  <si>
    <t>Autre installation commerciale</t>
  </si>
  <si>
    <t>Diğer ticari tesis</t>
  </si>
  <si>
    <t>Otra instalación comercial</t>
  </si>
  <si>
    <t>Andere gewerbliche Einrichtung</t>
  </si>
  <si>
    <t>Distribution / fulfillment centre</t>
  </si>
  <si>
    <t>Центр дистрибуції / виконання</t>
  </si>
  <si>
    <t>Centrum dystrybucji / realizacji zamówień</t>
  </si>
  <si>
    <t>Centre de distribution / de traitement</t>
  </si>
  <si>
    <t>Dağıtım / yerine getirme merkezi</t>
  </si>
  <si>
    <t>Centro de distribución / cumplimiento</t>
  </si>
  <si>
    <t>Distributions-/Fulfillment-Center</t>
  </si>
  <si>
    <t>Інший промисловий об'єкт</t>
  </si>
  <si>
    <t>Inny obiekt przemysłowy</t>
  </si>
  <si>
    <t>Autre installation industrielle</t>
  </si>
  <si>
    <t>Diğer endüstriyel tesis</t>
  </si>
  <si>
    <t>Otra instalación industrial</t>
  </si>
  <si>
    <t>Andere Industrieanlage</t>
  </si>
  <si>
    <t>Цей файл призначений для того, щоб надати фахівцям будівельного сектору можливість розробити приблизні оцінки шкоди міським районам або будівлям, спричинених військовими діями, землетрусами чи наслідками зміни клімату, такими як шторми, лісові пожежі, підвищення рівня моря, річкові повені, міські острови тепла.
   Вибір і значення є гіпотетичними та призначені лише для того, щоб показати, як може працювати система. Тому результати слід розглядати як попередні та дуже приблизні показники вартості збитків. Крім того, стійка реконструкція вимагатиме, щоб цей інструмент оцінки збитків доповнювався іншими файлами, такими як SNTool або SBTool, які нададуть вказівки щодо найбільш ефективного планування та проектування.
   Натисніть на сині клітинки, щоб вибрати зі списків. Введіть текст або дані в жовті комірки, але НЕ в інші комірки, оскільки більшість із них містять формули.</t>
  </si>
  <si>
    <t>Ten plik ma na celu umożliwienie profesjonalistom z branży budowlanej opracowania przybliżonych szacunków szkód w obszarach miejskich lub budynkach spowodowanych działaniami wojskowymi, trzęsieniami ziemi lub zmianami klimatycznymi, takimi jak wichury, obszary pożarów, podnoszenie się poziomu mórz, powodzie rzeczne, wyspy ciepła.
   Wybory i wartości są hipotetyczne i mają na celu jedynie pokazanie, jak system mógłby działać. Wyniki należy zatem traktować jako wstępne i bardzo przybliżone wskazania kosztów szkód. Ponadto zrównoważona odbudowa będzie wymagać uzupełnienia tego narzędzia oceny szkód o inne pliki, takie jak SNTool lub SBTool, które dostarczą wskazówek dotyczących najskuteczniejszego podejścia do planowania i projektowania.
   Kliknij niebieskie komórki, aby wybrać z list. Wprowadź tekst lub dane w żółtych komórkach, ale NIE w innych komórkach, ponieważ większość z nich zawiera formuły.</t>
  </si>
  <si>
    <t>Ce fichier est destiné à fournir aux professionnels du secteur du bâtiment un moyen de développer des estimations approximatives des dommages aux zones urbaines ou aux bâtiments causés par une action militaire, des tremblements de terre ou des impacts du changement climatique, tels que les tempêtes, les zones de feux de forêt, l'élévation du niveau de la mer, les inondations fluviales, les îlots de chaleur.
   Les sélections et les valeurs sont hypothétiques et visent uniquement à montrer comment le système pourrait fonctionner. Les résultats doivent donc être considérés comme des indications préliminaires et très approximatives des coûts des dommages. De plus, la reconstruction durable nécessitera que cet outil d'évaluation des dommages soit complété par d'autres fichiers, tels que SNTool ou SBTool, qui fourniront des indications sur l'approche de planification et de conception la plus efficace.
   Cliquez sur les cellules bleues pour sélectionner dans les listes. Entrez du texte ou des données dans les cellules jaunes, mais PAS dans les autres cellules, car la plupart d'entre elles contiennent des formules.</t>
  </si>
  <si>
    <t>Bu dosyanın amacı, inşaat sektörü profesyonellerine, askeri harekat, depremler veya rüzgar fırtınaları, orman yangını alanları, deniz seviyesinin yükselmesi, nehir taşkınları, kentsel ısı adaları.
   Seçimler ve değerler varsayımsaldır ve yalnızca sistemin nasıl çalışabileceğini göstermeyi amaçlar. Bu nedenle sonuçlar, hasar maliyetlerinin ön ve çok yaklaşık göstergeleri olarak görülmelidir. Ayrıca, sürdürülebilir yeniden yapılanma, bu hasar değerlendirme aracının, en etkili planlama ve tasarım yaklaşımının göstergelerini sağlayacak olan SNTool veya SBTool gibi diğer dosyalarla tamamlanmasını gerektirecektir.
   Listelerden seçim yapmak için mavi hücrelere tıklayın. Metni veya verileri sarı hücrelere girin, ancak çoğu formül içerdiğinden diğer hücrelere DEĞİL.</t>
  </si>
  <si>
    <t>Este archivo está destinado a proporcionar una forma para que los profesionales del sector de la construcción desarrollen estimaciones aproximadas de los daños a las áreas urbanas o edificios causados ​​por acciones militares, terremotos o impactos del cambio climático, como tormentas de viento, áreas de incendios forestales, aumento del nivel del mar, inundaciones fluviales, urbano islas de calor.
   Las selecciones y los valores son hipotéticos y solo pretenden mostrar cómo podría funcionar el sistema. Por lo tanto, los resultados deben verse como indicaciones preliminares y muy aproximadas de los costos de los daños. Además, la reconstrucción sostenible requerirá que esta herramienta de evaluación de daños se complemente con otros archivos, como SNTool o SBTool, que proporcionarán indicaciones sobre la planificación y el diseño más eficaces abordados.
   Haga clic en las celdas azules para seleccionar de las listas. Ingrese texto o datos en las celdas amarillas, pero NO en otras celdas, ya que la mayoría de ellas contienen fórmulas.</t>
  </si>
  <si>
    <t>Diese Datei soll Fachleuten aus dem Bausektor eine Möglichkeit bieten, ungefähre Schätzungen von Schäden an städtischen Gebieten oder Gebäuden zu entwickeln, die durch militärische Maßnahmen, Erdbeben oder Auswirkungen des Klimawandels verursacht wurden, wie z Wärmeinseln.
   Auswahlen und Werte sind hypothetisch und sollen nur zeigen, wie das System funktionieren könnte. Die Ergebnisse sind daher als vorläufige und sehr ungefähre Angaben zu den Schadenskosten zu sehen. Außerdem erfordert ein nachhaltiger Wiederaufbau, dass dieses Schadensbewertungstool durch andere Dateien wie SNTool oder SBTool ergänzt wird, die Hinweise auf die effektivste Planung und Gestaltung liefern.
   Klicken Sie auf blaue Zellen, um aus Listen auszuwählen. Geben Sie Text oder Daten in gelbe Zellen ein, aber NICHT in andere Zellen, da die meisten von ihnen Formeln enthalten.</t>
  </si>
  <si>
    <t>Select one of the three scenarios above by clicking the blue box below</t>
  </si>
  <si>
    <t>Виберіть один із трьох сценаріїв вище, клацнувши синє поле нижче</t>
  </si>
  <si>
    <t>Wybierz jeden z trzech powyższych scenariuszy, klikając niebieskie pole poniżej</t>
  </si>
  <si>
    <t>Sélectionnez l'un des trois scénarios ci-dessus en cliquant sur la case bleue ci-dessous</t>
  </si>
  <si>
    <t>Aşağıdaki mavi kutuyu tıklayarak yukarıdaki üç senaryodan birini seçin</t>
  </si>
  <si>
    <t>Seleccione uno de los tres escenarios anteriores haciendo clic en el cuadro azul a continuación</t>
  </si>
  <si>
    <t>Wählen Sie eines der drei obigen Szenarien aus, indem Sie unten auf das blaue Kästchen klicken</t>
  </si>
  <si>
    <t>Make sure that your selection below is in the same language you selected.</t>
  </si>
  <si>
    <t>Усі типи міських елементів</t>
  </si>
  <si>
    <t>Усі міські елементи в категорії</t>
  </si>
  <si>
    <t>Один міський елемент</t>
  </si>
  <si>
    <t>Tous les types d'éléments urbains</t>
  </si>
  <si>
    <t>Tous les éléments urbains dans la catégorie</t>
  </si>
  <si>
    <t>Élément urbain unique</t>
  </si>
  <si>
    <t>Tüm Kentsel Eleman Türleri</t>
  </si>
  <si>
    <t>Kategorideki Tüm Kent Elemanları</t>
  </si>
  <si>
    <t>Tek Kentsel öğe</t>
  </si>
  <si>
    <t>Energy generation systems</t>
  </si>
  <si>
    <t>Energy transmission systems</t>
  </si>
  <si>
    <t>Системи генерації енергії</t>
  </si>
  <si>
    <t>Системи передачі енергії</t>
  </si>
  <si>
    <t>Systemy wytwarzania energii</t>
  </si>
  <si>
    <t>Systemy przesyłu energii</t>
  </si>
  <si>
    <t>Systèmes de transport d'énergie</t>
  </si>
  <si>
    <t>Enerji üretim sistemleri</t>
  </si>
  <si>
    <t>Enerji iletim sistemleri</t>
  </si>
  <si>
    <t>Sistemas de generación de energía</t>
  </si>
  <si>
    <t>Sistemas de transmisión de energía</t>
  </si>
  <si>
    <t>Energieerzeugungssysteme</t>
  </si>
  <si>
    <t>Energieübertragungssysteme</t>
  </si>
  <si>
    <t>Total Irpin area is 110 km2. We use a crude estimate of 22 km2 (20%) being subject to debris</t>
  </si>
  <si>
    <t>Total Irpin area is 110 km2. We use a crude estimate of 55 km2 (50%) being topsoil</t>
  </si>
  <si>
    <t>Assumes that 88 km2 (80%) of 110 km2 surface area is underlain by water table</t>
  </si>
  <si>
    <t>Assumes that 22 km2 (20%) of 110 km2 surface area has some form of surface water</t>
  </si>
  <si>
    <t>прибл. вартість ремонту елементів 4 та 5 черги, м. Євро</t>
  </si>
  <si>
    <t>Environ. frais de réparation des éléments de priorité 4 &amp; 5, m. euro</t>
  </si>
  <si>
    <t>yaklaşık Öncelik 4 ve 5 elemanları için onarım maliyetleri, m. Euro</t>
  </si>
  <si>
    <t>m. euro</t>
  </si>
  <si>
    <t>m. Euro</t>
  </si>
  <si>
    <t>Approx. total repair costs, m. Euro</t>
  </si>
  <si>
    <t>Орієнтовна вартість ремонту в Категорії</t>
  </si>
  <si>
    <t>Orientacyjne koszty naprawy, m.in. Euro</t>
  </si>
  <si>
    <t>Coûts de réparation approximatifs, m. euro</t>
  </si>
  <si>
    <t>Costos aproximados de reparación, m. Euro</t>
  </si>
  <si>
    <t>Ungefähre Reparaturkosten m. Euro</t>
  </si>
  <si>
    <t>Runway(s)</t>
  </si>
  <si>
    <t>Control tower</t>
  </si>
  <si>
    <t>Hangar(s)</t>
  </si>
  <si>
    <t>Conveyor belt</t>
  </si>
  <si>
    <t>Pulverising plant</t>
  </si>
  <si>
    <t>Generator</t>
  </si>
  <si>
    <t>Condenser</t>
  </si>
  <si>
    <t>Turbine(s)</t>
  </si>
  <si>
    <t>Boiler(s)</t>
  </si>
  <si>
    <t>Site structures and parking</t>
  </si>
  <si>
    <t>Споруди ділянки та паркування</t>
  </si>
  <si>
    <t>Struktury terenu i parking</t>
  </si>
  <si>
    <t>Structures de chantier et stationnement</t>
  </si>
  <si>
    <t>Site yapıları ve otopark</t>
  </si>
  <si>
    <t>Estructuras del sitio y estacionamiento.</t>
  </si>
  <si>
    <t>Standortstrukturen und Parkplätze</t>
  </si>
  <si>
    <t>Other</t>
  </si>
  <si>
    <t>Forebay</t>
  </si>
  <si>
    <t>Intake Structure</t>
  </si>
  <si>
    <t>Penstock</t>
  </si>
  <si>
    <t>Surge Chamber</t>
  </si>
  <si>
    <t>Hydraulic turbines</t>
  </si>
  <si>
    <t>Power house</t>
  </si>
  <si>
    <t>Draft tube</t>
  </si>
  <si>
    <t>Tailrace</t>
  </si>
  <si>
    <t>Top: conventional hydroelectric dam.  Bottom: Pumped-storage dam</t>
  </si>
  <si>
    <t>Annual GWh output</t>
  </si>
  <si>
    <t>ca. 30,000</t>
  </si>
  <si>
    <t xml:space="preserve">The Zaporizhzhia Nuclear Power Station (Ukrainian: Запорізька атомна електростанція) in southeastern Ukraine is the largest nuclear power plant in Europe and among the 10 largest in the world. The plant has six VVER-1000 pressurized light water nuclear reactors (PWR), each fuelled with 235U (LEU) and generating 950 MWe, for a total power output of 5,700 MWe. The plant generates nearly half of the country's electricity derived from nuclear power, and more than a fifth of total electricity generated in Ukraine. The spent nuclear fuel is stored in cooling pools inside the reactor containments for up to five years...The electricity generated is supplied to the Ukrainian grid through four 750kV overhead transmission lines and one 330kV line...(Wikipedia)
</t>
  </si>
  <si>
    <t>Rated output, MW</t>
  </si>
  <si>
    <t>ca. 5,700</t>
  </si>
  <si>
    <t>Cooling towers</t>
  </si>
  <si>
    <t>Spent fuel storage</t>
  </si>
  <si>
    <t>Reactor cooling pumps</t>
  </si>
  <si>
    <t>Heat exchangers</t>
  </si>
  <si>
    <t>Steam turbines</t>
  </si>
  <si>
    <t>Condensers</t>
  </si>
  <si>
    <t>Shielding</t>
  </si>
  <si>
    <t>Alternators</t>
  </si>
  <si>
    <t>Nuclear Reactors (6)</t>
  </si>
  <si>
    <t xml:space="preserve">There are 11 hydroelectric plants. 4 of these are pumped-storage plants (Wikipedia). </t>
  </si>
  <si>
    <t>Science labs</t>
  </si>
  <si>
    <t>Gymnasium</t>
  </si>
  <si>
    <t>Classrooms (8)</t>
  </si>
  <si>
    <t>Staff offices (9)</t>
  </si>
  <si>
    <t>Sports fields</t>
  </si>
  <si>
    <t>Note that all specific values, such as percent damage or cost, are fictional and intended to show how the system can work</t>
  </si>
  <si>
    <t>RDNA Definitions</t>
  </si>
  <si>
    <t>Excerpts from Executive Summary of World Bank
Rapid Damage and Needs Assessment (RDNA) report</t>
  </si>
  <si>
    <t>The total reconstruction and recovery needs are
estimated at about US$349 billion. As shown in
Figure 3 and Table 1, the sectors with the highest
estimated needs are transport (21 percent), land
decontamination (demining and clearance of
explosive remnants of war) (21 percent), and housing (20 percent). Other sectors, including commerce and industry (6 percent), social protection and livelihoods (6 percent), and agriculture (5 percent), contribute substantially to the remaining needs.</t>
  </si>
  <si>
    <t>Total Needs</t>
  </si>
  <si>
    <t xml:space="preserve">Total Damage </t>
  </si>
  <si>
    <r>
      <t xml:space="preserve">Key Excerpts from World Bank RDNA </t>
    </r>
    <r>
      <rPr>
        <sz val="11"/>
        <color theme="1"/>
        <rFont val="Calibri-Light"/>
      </rPr>
      <t>(published August 2022)</t>
    </r>
  </si>
  <si>
    <r>
      <rPr>
        <b/>
        <sz val="10"/>
        <color theme="1"/>
        <rFont val="Calibri-Light"/>
      </rPr>
      <t xml:space="preserve">Damage: </t>
    </r>
    <r>
      <rPr>
        <sz val="10"/>
        <color theme="1"/>
        <rFont val="Calibri-Light"/>
      </rPr>
      <t xml:space="preserve">Direct costs of destroyed or damaged physical assets; valued in monetary terms with
costs estimated based on replacing or repairing physical assets and infrastructure, considering the
replacement price prevailing before the war.
</t>
    </r>
    <r>
      <rPr>
        <b/>
        <sz val="10"/>
        <color theme="1"/>
        <rFont val="Calibri-Light"/>
      </rPr>
      <t>Losses:</t>
    </r>
    <r>
      <rPr>
        <sz val="10"/>
        <color theme="1"/>
        <rFont val="Calibri-Light"/>
      </rPr>
      <t xml:space="preserve"> Changes in economic flows resulting from the war; valued in monetary terms.
</t>
    </r>
    <r>
      <rPr>
        <b/>
        <sz val="10"/>
        <color theme="1"/>
        <rFont val="Calibri-Light"/>
      </rPr>
      <t xml:space="preserve">Needs: </t>
    </r>
    <r>
      <rPr>
        <sz val="10"/>
        <color theme="1"/>
        <rFont val="Calibri-Light"/>
      </rPr>
      <t>Value associated with the resumption of prewar normality through activities such as repair
and restoration, including a premium linked to building back better principles (e.g., improved energy
efficiency, modernization efforts, and sustainability standards). Needs do not equal the sum of damage
and losses.</t>
    </r>
  </si>
  <si>
    <r>
      <t xml:space="preserve">Considering the impact of the war between February 24 and June 1, 2022, the damage across sectors covered in the RDNA is estimated at approximately US$97 billion... The most
damage-affected sectors are housing (40 % of total damage), transport (31 %), and commerce and industry (10 %).
</t>
    </r>
    <r>
      <rPr>
        <sz val="11"/>
        <color rgb="FFC00000"/>
        <rFont val="Calibri-Light"/>
      </rPr>
      <t>IMPORTANT:</t>
    </r>
    <r>
      <rPr>
        <sz val="11"/>
        <color theme="1"/>
        <rFont val="Calibri-Light"/>
        <family val="2"/>
      </rPr>
      <t xml:space="preserve"> Most damage to energy and other key infrastructure has taken place during June-November 2022, so current totals will be much higher.</t>
    </r>
  </si>
  <si>
    <t>Excerpts from New York Times story: 
Architects Plan a City for the Future in Ukraine, While Bombs Still Fall</t>
  </si>
  <si>
    <r>
      <t xml:space="preserve">Key Excerpts from NYT story about Irpin
</t>
    </r>
    <r>
      <rPr>
        <sz val="11"/>
        <color theme="1"/>
        <rFont val="Calibri-Light"/>
      </rPr>
      <t>(by Linda Kinstler, published 10 November 2022)</t>
    </r>
  </si>
  <si>
    <r>
      <t xml:space="preserve">Irpin was retaken on March 28, one month and a day after the invasion. They retreated north toward Belarus, leaving a trail of devastation in their wake. Their tank tracks still mark the asphalt on the highways. In Irpin, gleaming modern
apartment buildings were incinerated; residential homes reduced to rubble; schools shelled, burned and flooded. Destroying the bridge prevented further Russian advances, but it also deprived Ukrainian civilians of their primary escape route, trapping them in the line of fire....
</t>
    </r>
    <r>
      <rPr>
        <sz val="6"/>
        <color theme="1"/>
        <rFont val="Calibri-Light"/>
      </rPr>
      <t xml:space="preserve">
</t>
    </r>
    <r>
      <rPr>
        <sz val="11"/>
        <color theme="1"/>
        <rFont val="Calibri-Light"/>
        <family val="2"/>
      </rPr>
      <t xml:space="preserve">Today Sapon (Mikhail Sapon, the 30-year-old chief municipal architect of Irpin) is in charge of overseeing the reconstruction of not only the Irpin bridge but the entire city. The Russian invasion obliterated much of Irpin’s civilian infrastructure: Attacks blew out thousands of residential windows, collapsed roofs, eviscerated heating systems and destroyed the water filtration system. 
</t>
    </r>
    <r>
      <rPr>
        <sz val="6"/>
        <color theme="1"/>
        <rFont val="Calibri-Light"/>
      </rPr>
      <t xml:space="preserve">
</t>
    </r>
    <r>
      <rPr>
        <sz val="11"/>
        <color theme="1"/>
        <rFont val="Calibri-Light"/>
        <family val="2"/>
      </rPr>
      <t>The Central House of Culture, the public market, the hospitals and the stadium were shelled. All of them would somehow need to be restored. “During this month, we started counting all the damage, scanning everything with drones,” Sapon told me. “We realized that 70 percent was destroyed, that the bridges were gone, all the kindergartens are damaged.” He is working with Irpin’s mayor, Oleksandr Markushin, and the executive director of the Irpin Reconstruction Fund (and a former mayor), Volodymyr Karpluk, to restore the city even as rolling blackouts and energy cuts remind residents that more pain is still to come.</t>
    </r>
  </si>
  <si>
    <t xml:space="preserve">According to the city government, 119 high-rise apartment buildings and 1,483 private homes sustained significant damage; 16,358 residents were left homeless. The city aims to replace 15,600 residential windows by January yet faces a shortage of glass, steel, lumber and other building materials....In total, 885 buildings were destroyed, and over 12,000 were damaged. The city estimates that it needs at least 50 million euros to prepare for winter, which has already arrived in Ukraine, and one billion euros to completely rebuild....
</t>
  </si>
  <si>
    <r>
      <t xml:space="preserve">Because Irpin was one of the first Ukrainian cities to be destroyed and liberated, it is also one of the first places to make a full accounting of its losses and begin making plans for the future. The reconstruction of Irpin may one day serve as a
template — or a cautionary tale — for the eventual rebuilding of larger cities like Kharkiv, Kherson and Mariupol....
</t>
    </r>
    <r>
      <rPr>
        <sz val="6"/>
        <color theme="1"/>
        <rFont val="Calibri-Light"/>
      </rPr>
      <t xml:space="preserve">
</t>
    </r>
    <r>
      <rPr>
        <sz val="11"/>
        <color theme="1"/>
        <rFont val="Calibri-Light"/>
      </rPr>
      <t xml:space="preserve">Irpin </t>
    </r>
    <r>
      <rPr>
        <sz val="11"/>
        <color theme="1"/>
        <rFont val="Calibri-Light"/>
        <family val="2"/>
      </rPr>
      <t xml:space="preserve">is already awash in international aid and interest. The reconstruction is being undertaken in phases; only after all essential services are restored and stabilized, and residents supplied with windows and heating systems, will the city
turn toward realizing grander proposals.... 
</t>
    </r>
    <r>
      <rPr>
        <sz val="6"/>
        <color theme="1"/>
        <rFont val="Calibri-Light"/>
      </rPr>
      <t xml:space="preserve">
</t>
    </r>
    <r>
      <rPr>
        <sz val="11"/>
        <color theme="1"/>
        <rFont val="Calibri-Light"/>
        <family val="2"/>
      </rPr>
      <t>For now, though, the reconstruction plan is happening in piecemeal fashion. Volunteers have identified the sites most in need of repair, including the House of Culture, the public library, the local museum and the old market, as well as various private homes and larger apartment blocks. Each project has been given a preliminary price tag; an English-language brochure outlines the damage to each for the benefit of potential funders. You can scroll through Irpin’s decimated infrastructure in the same way that you might flip through a catalog. This is a strategic choice and a revealing one: The team understands all too well that they cannot count on international good will alone to survive. To receive the funds they need, they need to market their own averted obliteration.</t>
    </r>
  </si>
  <si>
    <t>Building Landscaping</t>
  </si>
  <si>
    <t>Mechanical Systems</t>
  </si>
  <si>
    <t>Electrical  Systems</t>
  </si>
  <si>
    <t>Space cooling systems</t>
  </si>
  <si>
    <t>Building structure</t>
  </si>
  <si>
    <t>Будівельна конструкція</t>
  </si>
  <si>
    <t>Механічні системи</t>
  </si>
  <si>
    <t>Електричні системи</t>
  </si>
  <si>
    <t>Системи охолодження приміщень</t>
  </si>
  <si>
    <t>Struktura budynku</t>
  </si>
  <si>
    <t>Systemy mechaniczne</t>
  </si>
  <si>
    <t>Systemy elektryczne</t>
  </si>
  <si>
    <t>Systemy chłodzenia pomieszczeń</t>
  </si>
  <si>
    <t>Structure de bâtiment</t>
  </si>
  <si>
    <t>Systèmes mécaniques</t>
  </si>
  <si>
    <t>Systèmes électriques</t>
  </si>
  <si>
    <t>Systèmes de production d'énergie</t>
  </si>
  <si>
    <t>Systèmes de refroidissement des locaux</t>
  </si>
  <si>
    <t>Bina Çevre Düzenlemesi</t>
  </si>
  <si>
    <t>Bina yapısı</t>
  </si>
  <si>
    <t>Mekanik Sistemler</t>
  </si>
  <si>
    <t>Elektriksel sistemler</t>
  </si>
  <si>
    <t>Uzay soğutma sistemleri</t>
  </si>
  <si>
    <t>Construcción de paisajismo</t>
  </si>
  <si>
    <t>Estructura de construcción</t>
  </si>
  <si>
    <t>Sistemas mecánicos</t>
  </si>
  <si>
    <t>Sistemas eléctricos</t>
  </si>
  <si>
    <t>Sistemas de refrigeración de espacios</t>
  </si>
  <si>
    <t>Gebäude Landschaftsbau</t>
  </si>
  <si>
    <t>Gebäudestruktur</t>
  </si>
  <si>
    <t>Mechanische Systeme</t>
  </si>
  <si>
    <t>Elektrische Systeme</t>
  </si>
  <si>
    <t>Raumkühlsysteme</t>
  </si>
  <si>
    <t>Operating theatre</t>
  </si>
  <si>
    <t>Structural damage to buildings and contents</t>
  </si>
  <si>
    <t>Bldg Env:  Building envelope, basement, including roof, walls
Est. repair cost: Estimated cost to repair or replace to original state, in million Euro
Importance or Priority scores: 1 = min 5 = max
Internal asset: Sections or components of the building, such as one or more floors or corners.
MEP: Mechanical, electrical  or plumbing
MURB: Multi-unit Residential Building
QTY: Quantity, number of items or area
Structure: all or part of total structure
Total m. Euro: based on rough estimate for all work required
     Use buttons at upper left for for more details.</t>
  </si>
  <si>
    <t>The objective of the RDNA is to deliver a consistent, validated, and transparent assessment of (i) 1 Land contamination refers to land that may contain land mines and/or explosive remnants of war. quantified physical damage to infrastructure, buildings, etc.; (ii) quantified indirect losses for a time period of 21 months (3 months between February and June 2022, and 18 additional months), considering assets such as disrupted services, economic impacts, costs related to internally displaced persons (IDPs), debris management, restricted access and costs due to land contamination etc.; and (iii) corresponding recovery and reconstruction needs.
The RDNA also outlines general guiding principles for building back better and sequencing investments for a green,resilient, inclusive, and sustainable recovery and reconstruction, focusing on immediate and shortterm needs (18 to 36 months) and medium- to longterm needs (up to 10 years).</t>
  </si>
  <si>
    <t>Damaged urban assets</t>
  </si>
  <si>
    <t>Information on main asset &amp; sub-assets</t>
  </si>
  <si>
    <t>Approx. repair costs, priority 4 &amp; 5 assets, m. Euro</t>
  </si>
  <si>
    <t>Wszystkie typy assetów miejskich</t>
  </si>
  <si>
    <t>Wszystkie assety miejskie w kategorii</t>
  </si>
  <si>
    <t>Uszkodzenia kluczowych assetów miejskich i infrastruktury</t>
  </si>
  <si>
    <t>Informacje o głównym elemencie i podassetach</t>
  </si>
  <si>
    <t>Pojedynczy asset miejski</t>
  </si>
  <si>
    <t>Około. koszty naprawy assetów priorytetu 4 i 5, m.in. Euro</t>
  </si>
  <si>
    <t>Uszkodzenie budynków i kluczowych assetów budynku</t>
  </si>
  <si>
    <t>asset budowlany</t>
  </si>
  <si>
    <t>Komponenty i assety budynków</t>
  </si>
  <si>
    <t>Wprowadź informacje o rodzaju i powierzchni / ilości assetów, opisy rodzaju i rozmiaru uszkodzeń; również szacunkowe szacunki środków potrzebnych na przywrócenie assetom ich pierwotnych funkcji.</t>
  </si>
  <si>
    <t>Todos los tipos de assetos urbanos</t>
  </si>
  <si>
    <t>Todos los assetos urbanos en la categoría</t>
  </si>
  <si>
    <t>Daños a assetos urbanos e infraestructura clave</t>
  </si>
  <si>
    <t>Información sobre el asseto principal y los subassetos</t>
  </si>
  <si>
    <t>Único asseto urbano</t>
  </si>
  <si>
    <t>Aprox. costes de reparación de assetos de prioridad 4 y 5, m. Euro</t>
  </si>
  <si>
    <t>Ingrese información sobre tipo y área/cantidad de assetos, descripciones del tipo y extensión del daño; también estimaciones aproximadas de los fondos necesarios para restaurar los assetos a sus funciones originales.</t>
  </si>
  <si>
    <t>Alle städtischen assettypen</t>
  </si>
  <si>
    <t>Alle urbanen assete in der Kategorie</t>
  </si>
  <si>
    <t>Schäden an wichtigen städtischen asseten und der Infrastruktur</t>
  </si>
  <si>
    <t>Informationen zu Hauptasset &amp; Unterasseten</t>
  </si>
  <si>
    <t>Einzelnes urbanes asset</t>
  </si>
  <si>
    <t>Ca. Reparaturkosten für assete der Priorität 4 &amp; 5, m. Euro</t>
  </si>
  <si>
    <t>Angaben zu Art und Fläche / Menge der assete, Schadensbeschreibungen zu Art und Ausmaß eintragen; auch ungefähre Schätzungen der Mittel, die erforderlich sind, um die assete wieder in ihre ursprüngliche Funktion zu versetzen.</t>
  </si>
  <si>
    <t>Single urban asset</t>
  </si>
  <si>
    <t>All urban asset types</t>
  </si>
  <si>
    <t>Business organisations</t>
  </si>
  <si>
    <t>Social organisations</t>
  </si>
  <si>
    <t>Families / persons</t>
  </si>
  <si>
    <t>All social groups</t>
  </si>
  <si>
    <t>Extent &gt; 80%</t>
  </si>
  <si>
    <t>Extent 60-80%</t>
  </si>
  <si>
    <t>Extent 40-60%</t>
  </si>
  <si>
    <t>Extent 20-40%</t>
  </si>
  <si>
    <t>Extent 10-20%</t>
  </si>
  <si>
    <t>Extent &lt;10%</t>
  </si>
  <si>
    <t>Dr. Ümit ÜNVER &lt;umitunver@gmail.com&gt;</t>
  </si>
  <si>
    <t>Chemical pollution of water table poses major health risk</t>
  </si>
  <si>
    <t>Debris is messy but can be quickly dealt with</t>
  </si>
  <si>
    <t>Restore / decontaminate</t>
  </si>
  <si>
    <t>Governments</t>
  </si>
  <si>
    <t>Moderate impact</t>
  </si>
  <si>
    <t>Minor impact</t>
  </si>
  <si>
    <t>Affected social assets</t>
  </si>
  <si>
    <t>Collateral human and social impacts</t>
  </si>
  <si>
    <t xml:space="preserve">A coal-fired power station is a type of fossil fuel power station. The coal is usually pulverized and then burned in a pulverized coal-fired boiler. The furnace heat converts boiler water to steam, which is then used to spin turbines that turn generators. Thus chemical energy stored in coal is converted successively into thermal energy, mechanical energy and, finally, electrical energy.(Wikipedia).
Coal plants have the largest total energy capacity in Ukraine, despite making up only 2.8% of power plants. While only 8.8% of power plants use gas, coal, or oil, they have an average energy capacity of 521.8MW. Individually, coal makes up the largest proportion of total energy capacity, with an average total capacity of 1,133MW. This is despite coal power plants making up only 2.8% of all power plants in Ukraine. (https://www.power-technology.com/analysis/ukraine-power-plants/)
</t>
  </si>
  <si>
    <t>Major impact</t>
  </si>
  <si>
    <t>WHOLE ASSET</t>
  </si>
  <si>
    <t>Asset or Component</t>
  </si>
  <si>
    <t>Minor damage</t>
  </si>
  <si>
    <t>Moderate damage</t>
  </si>
  <si>
    <t>Major damage</t>
  </si>
  <si>
    <t>Catastrophic impact</t>
  </si>
  <si>
    <t>Total destruction</t>
  </si>
  <si>
    <t>All assets in Category</t>
  </si>
  <si>
    <t>Loss of thermal or electric output disrupts electrical power and district heating</t>
  </si>
  <si>
    <t>Components</t>
  </si>
  <si>
    <t>Social Impact level</t>
  </si>
  <si>
    <t>Asset Damage level</t>
  </si>
  <si>
    <t>MWe</t>
  </si>
  <si>
    <t>There are 15 nuclear reactors, with 7 disconnected from the grid.</t>
  </si>
  <si>
    <t>Multi-node network</t>
  </si>
  <si>
    <t>All buildings</t>
  </si>
  <si>
    <t>All buildings in category</t>
  </si>
  <si>
    <t>WHOLE ASSET(S)</t>
  </si>
  <si>
    <t>Whole Asset or Building</t>
  </si>
  <si>
    <t>Property owners</t>
  </si>
  <si>
    <t>Info on socio-economic impacts</t>
  </si>
  <si>
    <t>Gross area / building</t>
  </si>
  <si>
    <t>Euro/m2</t>
  </si>
  <si>
    <t>Euro</t>
  </si>
  <si>
    <t>Avg. gross area / bldg</t>
  </si>
  <si>
    <t>TBA</t>
  </si>
  <si>
    <t xml:space="preserve">Info on socio-economic impacts
</t>
  </si>
  <si>
    <t>Test lab</t>
  </si>
  <si>
    <t>Office</t>
  </si>
  <si>
    <t>Basement</t>
  </si>
  <si>
    <t>Garage</t>
  </si>
  <si>
    <t>Garage and workshop</t>
  </si>
  <si>
    <t>Major University</t>
  </si>
  <si>
    <t>Mechanical ventilation systems</t>
  </si>
  <si>
    <t>Local health clinic, one floor</t>
  </si>
  <si>
    <t>Regional hospital, 3 floors</t>
  </si>
  <si>
    <t>Cost of replacing lifts is based on an installed per-unit price of 250k Euro per unit, assuming 3 lifts in an 8-floor building.</t>
  </si>
  <si>
    <t xml:space="preserve">Cost of replacing lifts is based on an installed per-unit price of 150k Euro per unit, assuming 2 lifts in a 3-floor building. </t>
  </si>
  <si>
    <t>Lifts are required for freight and wheelchairs</t>
  </si>
  <si>
    <t xml:space="preserve">Cost of replacing lifts is based on an installed per-unit price of 100k Euro per unit, assuming 2 lifts in a 3-floor building. </t>
  </si>
  <si>
    <t xml:space="preserve">Assume 3 elevators in a 6-storey building. The cost of replacing elevators is based on an installed per-unit price of 200k Euro per unit. </t>
  </si>
  <si>
    <t>This large house type is usually found in riral areas</t>
  </si>
  <si>
    <t>Ukraine 's population shrank from 52 mln in the early 1990s to an estimated 42 mln in 2020. The number of households is close to 15 mln and 70% of them are living in cities: 40% in big and 30% in small cities. Around 10% of the country’s population live in its capital — Kyiv... The number of housing units in 2018 was more than 17 mln..</t>
  </si>
  <si>
    <t>In 2003, the rate of single-household buildings to apartment buildings was 3:2, in 2017, the situation was directly opposite. ...As of 2018, the overwhelming majority of households in Ukraine (94%) live in separate apartments (47%, mostly in cities) or individual houses (48%, mostly in rural areas).... (https://cedos.org.ua/en/researches/derzhavna-zhytlova-polityka-v-ukraini-suchasnyi-stan-ta-perspektyvy-reformuvannia/)</t>
  </si>
  <si>
    <t>Includes children's playground</t>
  </si>
  <si>
    <t>workshop</t>
  </si>
  <si>
    <t>Se: A BIM-Based Method for Structural Stability Assessment and Emergency Repairs of Large-Panel Buildings Damaged by Military Actions and Explosions: Evidence from Ukraine; Petro Hryhorovskyi, Iryna Osadcha, Andrius Jurelionis , Vladyslav Basanskyi and Andrii Hryhorovskyi; Buildings 2022, 12(11), 1817; https://doi.org/10.3390/buildings</t>
  </si>
  <si>
    <t>Social room</t>
  </si>
  <si>
    <t>Most glazing on E &amp; S sides is totally destroyed.</t>
  </si>
  <si>
    <t>SW corner of building is totally destroyed</t>
  </si>
  <si>
    <t>Lab</t>
  </si>
  <si>
    <t>Per-unit costs to replace damaged equipment</t>
  </si>
  <si>
    <t>Replace 2 emergency generators @ 6,000 Euro each</t>
  </si>
  <si>
    <t xml:space="preserve">Assume 1 elevators in a 2-storey building. The cost of replacing elevator is based on an installed per-unit price of 75k Euro per unit. </t>
  </si>
  <si>
    <t xml:space="preserve">Higher education system of Ukraine is represented by 310 universities with 7,015 study programs. (Google). The higher education system of Kyiv has 81 universities, which offer 1,563 study programs. (Google)
Ukraine also has &gt;  800 institutes of higher education  in and around big cities such as Kyiv, Zaporizhzhia, Dnipro, Lviv and Odesa.
Three colleges in Irpin:
Irpin Economic College
University of the State Fiscal Service of Ukraine
Виноробня
</t>
  </si>
  <si>
    <t>Replace 4 emergency generators @ 6,000 Euro each</t>
  </si>
  <si>
    <t>sales area</t>
  </si>
  <si>
    <t>Number with similar characteristics</t>
  </si>
  <si>
    <t>Replace 1 emergency generator @ 6,000 Euro each</t>
  </si>
  <si>
    <t>million Euro</t>
  </si>
  <si>
    <t xml:space="preserve">Assume 3 elevators in a 16-storey building. The cost of replacing elevator is based on an installed per-unit price of 75k Euro . </t>
  </si>
  <si>
    <t xml:space="preserve">Assume 3 elevators in a 16-storey building. The cost of replacing elevator is based on an installed per-unit price of 75k Euro per unit. </t>
  </si>
  <si>
    <t>Staff offices</t>
  </si>
  <si>
    <t>Washrooms x 16 floors</t>
  </si>
  <si>
    <t>Replace 1 emergency generator @ 12,000 Euro each</t>
  </si>
  <si>
    <t>Upgrade washrooms; assume 8,000 Euro x 2 x 16</t>
  </si>
  <si>
    <t>Storage</t>
  </si>
  <si>
    <t>Workroom</t>
  </si>
  <si>
    <t>Kitchen</t>
  </si>
  <si>
    <t>Food storage</t>
  </si>
  <si>
    <t>Replace 1 emergency generator @ 8,000 Euro each</t>
  </si>
  <si>
    <t>Buried petrol storage tanks</t>
  </si>
  <si>
    <t>Local ecological system</t>
  </si>
  <si>
    <t>Sub-surface acquifer</t>
  </si>
  <si>
    <t>Local fauna</t>
  </si>
  <si>
    <t>Tree grove</t>
  </si>
  <si>
    <t>Chemical or radiation damage</t>
  </si>
  <si>
    <t>Urban fire</t>
  </si>
  <si>
    <t>Fire &amp; smoke damage to buildings and contents</t>
  </si>
  <si>
    <t>Blast damage</t>
  </si>
  <si>
    <t>Blast damage to structures, building envelope or contents</t>
  </si>
  <si>
    <t>Topsoil</t>
  </si>
  <si>
    <t>Est. repair cost</t>
  </si>
  <si>
    <t>Enter info on type and area / quantity of assets, type and extent of damage.</t>
  </si>
  <si>
    <t>Urban vegetable gardens</t>
  </si>
  <si>
    <t>Asset / Component</t>
  </si>
  <si>
    <t>Kindergarten</t>
  </si>
  <si>
    <t>Almost 150,000 residential buildings, 1,400 schools and 865 kindergartens were destroyed in 2022 as a result of Russia's attack on Ukraine.</t>
  </si>
  <si>
    <t>27Jan23</t>
  </si>
  <si>
    <t xml:space="preserve">27 Jan
2023  </t>
  </si>
  <si>
    <t>Est. Euro</t>
  </si>
  <si>
    <t>Average priority</t>
  </si>
  <si>
    <t>Net/gross costs are activated by individual priority scores</t>
  </si>
  <si>
    <t>Total m. Euro / unit</t>
  </si>
  <si>
    <t>Total 000 Euro</t>
  </si>
  <si>
    <t>In this case, costs are based on indivdual cost/km, number of distribution systems, and their length</t>
  </si>
  <si>
    <t>Distribution voltages are typically medium voltage, between 2.4 kV and 33 kV
In this case, costs are based on indivdual cost/kv output and number of substations</t>
  </si>
  <si>
    <t>In this case, costs are based on indivdual cost/kv output and number of charging stations</t>
  </si>
  <si>
    <t>In this case, costs are based on number of similar networks and average volume per hour.</t>
  </si>
  <si>
    <t>Avg. units in local network</t>
  </si>
  <si>
    <t>In this case, costs are based on number of similar networks and average light units per network.</t>
  </si>
  <si>
    <t>Signal stands</t>
  </si>
  <si>
    <t>Junction boxes</t>
  </si>
  <si>
    <t>Euro/km2</t>
  </si>
  <si>
    <t>office</t>
  </si>
  <si>
    <t>Park(s)</t>
  </si>
  <si>
    <t>11 Solar PV farms (Wikipedia).
https://en.wikipedia.org/wiki/Photovoltaic_power_station
Costs are based on number of solar farms and the approximate cost per farm.</t>
  </si>
  <si>
    <t>Avg. network length, km.</t>
  </si>
  <si>
    <r>
      <t xml:space="preserve">There are over 1600 DH orgs in Ukraine covering 37% of households, total output 43 million Gcal. </t>
    </r>
    <r>
      <rPr>
        <sz val="6"/>
        <color theme="1"/>
        <rFont val="Calibri Light"/>
        <family val="2"/>
      </rPr>
      <t xml:space="preserve">
</t>
    </r>
    <r>
      <rPr>
        <sz val="9"/>
        <color theme="1"/>
        <rFont val="Calibri Light"/>
        <family val="2"/>
      </rPr>
      <t>Most MURBS ... are connected to DH networks with a total length of ca. 21 000 km.  CHP has 40% share. Natural gas is the main fuel for DH (7.4 bcm in 2019).
Costs are based on number of DH systems and the approximate cost per km.</t>
    </r>
  </si>
  <si>
    <t>Assume that one wind farm includes 10 turbines @1.5 MW</t>
  </si>
  <si>
    <t>Total m. Euro / farm</t>
  </si>
  <si>
    <t>L/h</t>
  </si>
  <si>
    <t>H/h</t>
  </si>
  <si>
    <t>Station building</t>
  </si>
  <si>
    <t>Assumes 100,000 repair cost for each station building</t>
  </si>
  <si>
    <t>Assumes 50,000 repair cost for each station building</t>
  </si>
  <si>
    <t>Paving &amp; roadbed</t>
  </si>
  <si>
    <t>Formal urban parks</t>
  </si>
  <si>
    <t>Informal urban parks</t>
  </si>
  <si>
    <t>Sub-surface Infrastructure</t>
  </si>
  <si>
    <t>Surface Infrastructure</t>
  </si>
  <si>
    <t>Agricultural area</t>
  </si>
  <si>
    <t>Private green space</t>
  </si>
  <si>
    <t>Wooded area</t>
  </si>
  <si>
    <t>Marsh or Wetland</t>
  </si>
  <si>
    <t>Formal water elements</t>
  </si>
  <si>
    <t>Constructed water elements</t>
  </si>
  <si>
    <t>Natural surface water elements</t>
  </si>
  <si>
    <t>Irpin Urban Area</t>
  </si>
  <si>
    <t>Component Damage</t>
  </si>
  <si>
    <t>Asset or Component Damage level</t>
  </si>
  <si>
    <t>Flooding from damaged basements</t>
  </si>
  <si>
    <t>Est. repair cost: Estimated cost to repair or replace to original state, in million Euro
Importance or Priority scores: 1 = min 5 = max
Component:: components of the building, such as one or more floors or corners.
MEP: Mechanical, electrical  or plumbing
MURB: Multi-unit Residential Building
QTY: Quantity, number of items or area
Structure: all or part of total structure
Total m. Euro: based on rough estimate for all work required
     Use buttons at upper left for for more details.</t>
  </si>
  <si>
    <t xml:space="preserve">This file is intended to provide a way for building-sector professionals to develop approximate estimates of damage to urban areas or buildings caused by military action, earthquakes or climate change impacts, such as windstorms, wildfire areas, sea level rise, riverine flooding, urban heat islands.
Selections and values are  hypothetical and are only intended to show how the system could work. The results should therefore be seen as preliminary and very approximate indications of damage costs. Also, sustainable reconstruction will require that this damage assessment tool be complemented by other files, such as SNTool or SBTool, to provide indications of the most effective planning and design approach.
Click on blue cells to select from lists.  Enter text or data in yellow cells but NOT in other cells, since most of them contain formulas. </t>
  </si>
  <si>
    <t>Replace 2 emergency generators @ 8,000 Euro each</t>
  </si>
  <si>
    <t>Convenience shop</t>
  </si>
  <si>
    <t>H2 pumping &amp; distribution</t>
  </si>
  <si>
    <t>Gas pumping and distribution</t>
  </si>
  <si>
    <t>For more detailed info, click on "2" at upper left corner</t>
  </si>
  <si>
    <t>Agriculture is damaged by heavy metals, oils, explosives, nerve agents, dioxins or radioactive elements.</t>
  </si>
  <si>
    <t>Aggregate area, km2</t>
  </si>
  <si>
    <t>Social groups and impact</t>
  </si>
  <si>
    <t>Est. Euro per km2</t>
  </si>
  <si>
    <t>Aggregate area, ha</t>
  </si>
  <si>
    <t>Area, ha</t>
  </si>
  <si>
    <t>Euro/ha.</t>
  </si>
  <si>
    <t>Remove debris</t>
  </si>
  <si>
    <t>Demining</t>
  </si>
  <si>
    <t>Remove pollutants</t>
  </si>
  <si>
    <t>Only time will decontaminate atmosphere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</si>
</sst>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83C]#,##0"/>
    <numFmt numFmtId="165" formatCode="[$€-83C]#,##0.0"/>
    <numFmt numFmtId="166" formatCode="[$€-813]\ #,##0"/>
    <numFmt numFmtId="167" formatCode="[$€-83C]#,##0.00"/>
    <numFmt numFmtId="168" formatCode="[$€-813]\ #,##0.0"/>
    <numFmt numFmtId="169" formatCode="[$€-83C]#,##0.000"/>
    <numFmt numFmtId="170" formatCode="[$€-813]\ #,##0.00"/>
    <numFmt numFmtId="171" formatCode="0.0"/>
    <numFmt numFmtId="172" formatCode="#,##0.0"/>
  </numFmts>
  <fonts count="134">
    <font>
      <sz val="12"/>
      <color theme="1"/>
      <name val="Calibri-Light"/>
      <family val="2"/>
    </font>
    <font>
      <sz val="12"/>
      <color theme="1"/>
      <name val="Calibri Light"/>
      <family val="2"/>
    </font>
    <font>
      <sz val="11"/>
      <color theme="1"/>
      <name val="Calibri Light"/>
      <family val="2"/>
    </font>
    <font>
      <sz val="10"/>
      <color theme="1"/>
      <name val="Calibri-Light"/>
      <family val="2"/>
    </font>
    <font>
      <sz val="12"/>
      <color theme="1"/>
      <name val="Helvetica Light"/>
    </font>
    <font>
      <sz val="14"/>
      <color theme="1"/>
      <name val="Calibri"/>
      <family val="2"/>
    </font>
    <font>
      <sz val="11"/>
      <color theme="1"/>
      <name val="Calibri-Light"/>
      <family val="2"/>
    </font>
    <font>
      <sz val="12"/>
      <color theme="0" tint="-0.499984740745262"/>
      <name val="Calibri-Light"/>
      <family val="2"/>
    </font>
    <font>
      <sz val="10"/>
      <color theme="1"/>
      <name val="Calibri Light"/>
      <family val="2"/>
    </font>
    <font>
      <sz val="11"/>
      <color theme="0" tint="-0.499984740745262"/>
      <name val="Calibri-Light"/>
      <family val="2"/>
    </font>
    <font>
      <sz val="9"/>
      <color theme="1"/>
      <name val="Calibri-Light"/>
      <family val="2"/>
    </font>
    <font>
      <sz val="12"/>
      <color theme="1"/>
      <name val="Calibri"/>
      <family val="2"/>
    </font>
    <font>
      <sz val="11"/>
      <color theme="1"/>
      <name val="Calibri"/>
      <family val="2"/>
    </font>
    <font>
      <sz val="8"/>
      <color theme="1"/>
      <name val="Calibri-Light"/>
      <family val="2"/>
    </font>
    <font>
      <sz val="9"/>
      <color theme="1"/>
      <name val="Calibri Light"/>
      <family val="2"/>
    </font>
    <font>
      <sz val="9"/>
      <color theme="1"/>
      <name val="Helvetica Light"/>
    </font>
    <font>
      <sz val="36"/>
      <color theme="1"/>
      <name val="Calibri-Light"/>
      <family val="2"/>
    </font>
    <font>
      <sz val="10"/>
      <color rgb="FF202124"/>
      <name val="Inherit"/>
    </font>
    <font>
      <sz val="11"/>
      <color rgb="FF202124"/>
      <name val="Inherit"/>
    </font>
    <font>
      <sz val="11"/>
      <color theme="1"/>
      <name val="Inherit"/>
    </font>
    <font>
      <sz val="18"/>
      <color theme="1"/>
      <name val="Calibri-Light"/>
      <family val="2"/>
    </font>
    <font>
      <sz val="10"/>
      <color theme="1"/>
      <name val="Inherit"/>
    </font>
    <font>
      <sz val="12"/>
      <color rgb="FF202124"/>
      <name val="Calibri Light"/>
      <family val="2"/>
    </font>
    <font>
      <sz val="10"/>
      <color theme="1"/>
      <name val="Calibri"/>
      <family val="2"/>
    </font>
    <font>
      <sz val="10"/>
      <color rgb="FF202124"/>
      <name val="Calibri Light"/>
      <family val="2"/>
    </font>
    <font>
      <sz val="11"/>
      <color rgb="FF202124"/>
      <name val="Calibri Light"/>
      <family val="2"/>
    </font>
    <font>
      <b/>
      <sz val="12"/>
      <color theme="1"/>
      <name val="Calibri-Light"/>
      <family val="2"/>
    </font>
    <font>
      <b/>
      <sz val="11"/>
      <color theme="1"/>
      <name val="Calibri-Light"/>
    </font>
    <font>
      <sz val="13"/>
      <color rgb="FF276652"/>
      <name val="Calibri"/>
      <family val="2"/>
    </font>
    <font>
      <sz val="11"/>
      <color theme="1" tint="0.34998626667073579"/>
      <name val="Calibri-Light"/>
    </font>
    <font>
      <b/>
      <sz val="12"/>
      <color theme="1"/>
      <name val="Helvetica Light"/>
    </font>
    <font>
      <b/>
      <sz val="12"/>
      <color theme="1"/>
      <name val="Calibri"/>
      <family val="2"/>
    </font>
    <font>
      <sz val="12"/>
      <color rgb="FFC00000"/>
      <name val="Calibri-Light"/>
    </font>
    <font>
      <sz val="8"/>
      <name val="Calibri-Light"/>
      <family val="2"/>
    </font>
    <font>
      <b/>
      <sz val="14"/>
      <color theme="1"/>
      <name val="Calibri-Light"/>
    </font>
    <font>
      <sz val="12"/>
      <color rgb="FF202124"/>
      <name val="Inherit"/>
    </font>
    <font>
      <sz val="10"/>
      <color theme="1"/>
      <name val="Helvetica Light"/>
    </font>
    <font>
      <sz val="14"/>
      <color rgb="FFC00000"/>
      <name val="Calibri"/>
      <family val="2"/>
    </font>
    <font>
      <sz val="12"/>
      <color theme="1"/>
      <name val="Calibri-Light"/>
    </font>
    <font>
      <sz val="11"/>
      <color theme="1"/>
      <name val="Calibri-Light"/>
    </font>
    <font>
      <sz val="10"/>
      <color theme="1"/>
      <name val="Calibri-Light"/>
    </font>
    <font>
      <sz val="18"/>
      <color theme="1"/>
      <name val="Calibri-Light"/>
    </font>
    <font>
      <sz val="16"/>
      <color theme="1"/>
      <name val="Calibri Light"/>
      <family val="2"/>
    </font>
    <font>
      <sz val="18"/>
      <color rgb="FFFF0000"/>
      <name val="Calibri-Light"/>
    </font>
    <font>
      <sz val="14"/>
      <color theme="1"/>
      <name val="Calibri-Light"/>
    </font>
    <font>
      <b/>
      <sz val="28"/>
      <color rgb="FFFF0000"/>
      <name val="Calibri-Light"/>
    </font>
    <font>
      <sz val="14"/>
      <color rgb="FFFF0000"/>
      <name val="Calibri Bold"/>
    </font>
    <font>
      <sz val="14"/>
      <color theme="1"/>
      <name val="Calibri-Light"/>
      <family val="2"/>
    </font>
    <font>
      <sz val="10"/>
      <color rgb="FFC00000"/>
      <name val="Calibri-Light"/>
    </font>
    <font>
      <sz val="16"/>
      <color rgb="FFFF0000"/>
      <name val="Calibri-Light"/>
    </font>
    <font>
      <sz val="10"/>
      <name val="Verdana"/>
      <family val="2"/>
      <charset val="238"/>
    </font>
    <font>
      <u/>
      <sz val="9"/>
      <color indexed="12"/>
      <name val="Geneva"/>
      <family val="2"/>
    </font>
    <font>
      <sz val="9"/>
      <color theme="1"/>
      <name val="Avenir Next Condensed Regular"/>
    </font>
    <font>
      <sz val="22"/>
      <color theme="0"/>
      <name val="Calibri"/>
      <family val="2"/>
    </font>
    <font>
      <sz val="11"/>
      <color rgb="FF05827C"/>
      <name val="Calibri-Light"/>
      <family val="2"/>
    </font>
    <font>
      <sz val="9"/>
      <color theme="0"/>
      <name val="Calibri"/>
      <family val="2"/>
    </font>
    <font>
      <sz val="16"/>
      <color rgb="FF05827C"/>
      <name val="Calibri"/>
      <family val="2"/>
    </font>
    <font>
      <b/>
      <sz val="12"/>
      <color theme="1" tint="0.34998626667073579"/>
      <name val="Calibri"/>
      <family val="2"/>
    </font>
    <font>
      <sz val="20"/>
      <color theme="0"/>
      <name val="Calibri"/>
      <family val="2"/>
    </font>
    <font>
      <sz val="12"/>
      <color theme="1" tint="0.34998626667073579"/>
      <name val="Calibri"/>
      <family val="2"/>
    </font>
    <font>
      <sz val="11"/>
      <color rgb="FF000000"/>
      <name val="Calibri-Light"/>
    </font>
    <font>
      <sz val="11"/>
      <color rgb="FF202124"/>
      <name val="Calibri"/>
      <family val="2"/>
      <scheme val="minor"/>
    </font>
    <font>
      <sz val="11"/>
      <color rgb="FF202124"/>
      <name val="Calibri Light"/>
      <family val="2"/>
      <scheme val="major"/>
    </font>
    <font>
      <sz val="12"/>
      <color rgb="FF00B050"/>
      <name val="Calibri-Light"/>
      <family val="2"/>
    </font>
    <font>
      <sz val="12"/>
      <color rgb="FF00B050"/>
      <name val="Calibri Light"/>
      <family val="2"/>
    </font>
    <font>
      <sz val="11"/>
      <color rgb="FF00B050"/>
      <name val="Calibri-Light"/>
      <family val="2"/>
    </font>
    <font>
      <sz val="11"/>
      <color rgb="FF00B050"/>
      <name val="Calibri-Light"/>
    </font>
    <font>
      <sz val="11"/>
      <color rgb="FF00B050"/>
      <name val="Inherit"/>
    </font>
    <font>
      <sz val="10"/>
      <color rgb="FF00B050"/>
      <name val="Calibri-Light"/>
      <family val="2"/>
    </font>
    <font>
      <b/>
      <sz val="14"/>
      <color rgb="FF00B050"/>
      <name val="Calibri Light"/>
      <family val="2"/>
      <charset val="162"/>
    </font>
    <font>
      <b/>
      <sz val="14"/>
      <color theme="9"/>
      <name val="Calibri Light"/>
      <family val="2"/>
      <charset val="162"/>
    </font>
    <font>
      <sz val="12"/>
      <color theme="9"/>
      <name val="Calibri-Light"/>
    </font>
    <font>
      <sz val="10"/>
      <color theme="9"/>
      <name val="Calibri Light"/>
      <family val="2"/>
      <charset val="162"/>
    </font>
    <font>
      <sz val="10"/>
      <color theme="9"/>
      <name val="Calibri-Light"/>
      <family val="2"/>
    </font>
    <font>
      <sz val="10"/>
      <color theme="9"/>
      <name val="Calibri Light"/>
      <family val="2"/>
    </font>
    <font>
      <sz val="12"/>
      <color theme="9"/>
      <name val="Calibri-Light"/>
      <family val="2"/>
    </font>
    <font>
      <sz val="11"/>
      <color rgb="FF00B050"/>
      <name val="Calibri Light"/>
      <family val="2"/>
    </font>
    <font>
      <sz val="11"/>
      <color theme="9"/>
      <name val="Calibri Light"/>
      <family val="2"/>
    </font>
    <font>
      <sz val="11"/>
      <color theme="9"/>
      <name val="Inherit"/>
    </font>
    <font>
      <sz val="11"/>
      <color theme="9"/>
      <name val="Calibri-Light"/>
      <family val="2"/>
    </font>
    <font>
      <sz val="9"/>
      <color theme="9"/>
      <name val="Calibri-Light"/>
      <family val="2"/>
    </font>
    <font>
      <sz val="10"/>
      <color theme="9"/>
      <name val="Helvetica Light"/>
    </font>
    <font>
      <sz val="9"/>
      <color theme="9"/>
      <name val="Calibri Light"/>
      <family val="2"/>
    </font>
    <font>
      <sz val="18"/>
      <color theme="9"/>
      <name val="Calibri-Light"/>
      <family val="2"/>
    </font>
    <font>
      <sz val="18"/>
      <color rgb="FF00B050"/>
      <name val="Calibri-Light"/>
      <family val="2"/>
    </font>
    <font>
      <i/>
      <sz val="11"/>
      <color theme="1"/>
      <name val="Calibri-Light"/>
    </font>
    <font>
      <sz val="6"/>
      <color theme="1"/>
      <name val="Calibri Light"/>
      <family val="2"/>
    </font>
    <font>
      <sz val="8"/>
      <color theme="1"/>
      <name val="Calibri Light"/>
      <family val="2"/>
    </font>
    <font>
      <b/>
      <sz val="11"/>
      <color theme="1"/>
      <name val="Calibri Light"/>
      <family val="2"/>
    </font>
    <font>
      <b/>
      <sz val="10"/>
      <color rgb="FF202124"/>
      <name val="Inherit"/>
    </font>
    <font>
      <b/>
      <sz val="10"/>
      <color rgb="FF202124"/>
      <name val="Calibri Light"/>
      <family val="2"/>
    </font>
    <font>
      <sz val="12"/>
      <color theme="0"/>
      <name val="Calibri-Light"/>
    </font>
    <font>
      <sz val="11"/>
      <color theme="1" tint="0.249977111117893"/>
      <name val="Calibri"/>
      <family val="2"/>
    </font>
    <font>
      <sz val="12"/>
      <color theme="1" tint="0.249977111117893"/>
      <name val="Calibri"/>
      <family val="2"/>
    </font>
    <font>
      <sz val="12"/>
      <color rgb="FFC00000"/>
      <name val="Calibri"/>
      <family val="2"/>
    </font>
    <font>
      <sz val="16"/>
      <color theme="1"/>
      <name val="Calibri-Light"/>
      <family val="2"/>
    </font>
    <font>
      <sz val="14"/>
      <color rgb="FFC00000"/>
      <name val="Calibri-Light"/>
    </font>
    <font>
      <sz val="12"/>
      <color rgb="FFC00000"/>
      <name val="Calibri-Light"/>
      <family val="2"/>
    </font>
    <font>
      <sz val="6"/>
      <color theme="1"/>
      <name val="Calibri-Light"/>
    </font>
    <font>
      <sz val="11"/>
      <color rgb="FFC00000"/>
      <name val="Calibri-Light"/>
    </font>
    <font>
      <sz val="16"/>
      <color rgb="FFC00000"/>
      <name val="Calibri-Light"/>
      <family val="2"/>
    </font>
    <font>
      <b/>
      <sz val="10"/>
      <color theme="1"/>
      <name val="Calibri-Light"/>
    </font>
    <font>
      <b/>
      <sz val="14"/>
      <color theme="1" tint="0.34998626667073579"/>
      <name val="Calibri"/>
      <family val="2"/>
    </font>
    <font>
      <sz val="12"/>
      <color theme="1"/>
      <name val="Inherit"/>
    </font>
    <font>
      <sz val="12"/>
      <color theme="1"/>
      <name val="Calibri-Light"/>
      <family val="2"/>
    </font>
    <font>
      <sz val="12"/>
      <color rgb="FF9C0006"/>
      <name val="Calibri-Light"/>
      <family val="2"/>
    </font>
    <font>
      <sz val="12"/>
      <color rgb="FFFF0000"/>
      <name val="Calibri Light"/>
      <family val="2"/>
    </font>
    <font>
      <sz val="11"/>
      <color rgb="FFFF0000"/>
      <name val="Calibri Light"/>
      <family val="2"/>
    </font>
    <font>
      <sz val="11"/>
      <color rgb="FFFF0000"/>
      <name val="Calibri"/>
      <family val="2"/>
    </font>
    <font>
      <sz val="16"/>
      <color theme="1"/>
      <name val="Calibri"/>
      <family val="2"/>
    </font>
    <font>
      <sz val="9"/>
      <color theme="1"/>
      <name val="Calibri-Light"/>
    </font>
    <font>
      <sz val="12"/>
      <color rgb="FFFF0000"/>
      <name val="Calibri"/>
      <family val="2"/>
    </font>
    <font>
      <sz val="12"/>
      <color rgb="FF000000"/>
      <name val="Calibri Light"/>
      <family val="2"/>
    </font>
    <font>
      <sz val="9"/>
      <color rgb="FFFF0000"/>
      <name val="Calibri Light"/>
      <family val="2"/>
    </font>
    <font>
      <sz val="16"/>
      <color theme="0"/>
      <name val="Calibri"/>
      <family val="2"/>
    </font>
    <font>
      <sz val="10"/>
      <color rgb="FFFF0000"/>
      <name val="Calibri Light"/>
      <family val="2"/>
    </font>
    <font>
      <sz val="9"/>
      <color theme="1"/>
      <name val="Calibri"/>
      <family val="2"/>
    </font>
    <font>
      <sz val="8"/>
      <color theme="1"/>
      <name val="Calibri"/>
      <family val="2"/>
    </font>
    <font>
      <sz val="16"/>
      <color theme="0" tint="-0.249977111117893"/>
      <name val="Calibri Light"/>
      <family val="2"/>
    </font>
    <font>
      <sz val="16"/>
      <color theme="0" tint="-0.249977111117893"/>
      <name val="Calibri-Light"/>
      <family val="2"/>
    </font>
    <font>
      <sz val="12"/>
      <color theme="0" tint="-0.249977111117893"/>
      <name val="Calibri-Light"/>
      <family val="2"/>
    </font>
    <font>
      <sz val="16"/>
      <color theme="0" tint="-0.34998626667073579"/>
      <name val="Calibri-Light"/>
      <family val="2"/>
    </font>
    <font>
      <sz val="14"/>
      <color theme="0" tint="-0.34998626667073579"/>
      <name val="Calibri-Light"/>
      <family val="2"/>
    </font>
    <font>
      <sz val="14"/>
      <color theme="0" tint="-0.249977111117893"/>
      <name val="Calibri-Light"/>
      <family val="2"/>
    </font>
    <font>
      <sz val="9"/>
      <color theme="0" tint="-0.249977111117893"/>
      <name val="Calibri Light"/>
      <family val="2"/>
    </font>
    <font>
      <sz val="9"/>
      <color theme="1" tint="0.14999847407452621"/>
      <name val="Calibri Light"/>
      <family val="2"/>
    </font>
    <font>
      <sz val="12"/>
      <color rgb="FFC00000"/>
      <name val="Calibri Light"/>
      <family val="2"/>
    </font>
    <font>
      <sz val="10"/>
      <color theme="0" tint="-0.249977111117893"/>
      <name val="Calibri Light"/>
      <family val="2"/>
    </font>
    <font>
      <i/>
      <sz val="12"/>
      <color theme="1"/>
      <name val="Calibri Light"/>
      <family val="2"/>
    </font>
    <font>
      <i/>
      <sz val="12"/>
      <color rgb="FFFF0000"/>
      <name val="Calibri Light"/>
      <family val="2"/>
    </font>
    <font>
      <sz val="11"/>
      <color rgb="FFC00000"/>
      <name val="Calibri Light"/>
      <family val="2"/>
    </font>
    <font>
      <sz val="12"/>
      <color rgb="FFFF0000"/>
      <name val="Calibri-Light"/>
      <family val="2"/>
    </font>
    <font>
      <sz val="12"/>
      <color theme="1" tint="0.249977111117893"/>
      <name val="Calibri Light"/>
      <family val="2"/>
    </font>
    <font>
      <sz val="14"/>
      <color theme="1" tint="0.249977111117893"/>
      <name val="Calibri"/>
      <family val="2"/>
    </font>
  </fonts>
  <fills count="15">
    <fill>
      <patternFill patternType="none"/>
    </fill>
    <fill>
      <patternFill patternType="gray125"/>
    </fill>
    <fill>
      <patternFill patternType="solid">
        <fgColor rgb="FFFFF7CC"/>
        <bgColor indexed="64"/>
      </patternFill>
    </fill>
    <fill>
      <patternFill patternType="solid">
        <fgColor rgb="FFDAFBFF"/>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E173"/>
        <bgColor indexed="64"/>
      </patternFill>
    </fill>
    <fill>
      <patternFill patternType="solid">
        <fgColor rgb="FF09A49B"/>
        <bgColor indexed="64"/>
      </patternFill>
    </fill>
    <fill>
      <patternFill patternType="solid">
        <fgColor theme="0"/>
        <bgColor indexed="64"/>
      </patternFill>
    </fill>
    <fill>
      <patternFill patternType="solid">
        <fgColor rgb="FFFFDD8B"/>
        <bgColor indexed="64"/>
      </patternFill>
    </fill>
    <fill>
      <patternFill patternType="solid">
        <fgColor rgb="FFFEFFE9"/>
        <bgColor indexed="64"/>
      </patternFill>
    </fill>
    <fill>
      <patternFill patternType="solid">
        <fgColor theme="7" tint="0.79998168889431442"/>
        <bgColor indexed="64"/>
      </patternFill>
    </fill>
    <fill>
      <patternFill patternType="solid">
        <fgColor rgb="FFFFC7CE"/>
      </patternFill>
    </fill>
    <fill>
      <patternFill patternType="solid">
        <fgColor rgb="FFF2F2F2"/>
        <bgColor rgb="FF000000"/>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hair">
        <color auto="1"/>
      </right>
      <top/>
      <bottom/>
      <diagonal/>
    </border>
    <border>
      <left style="hair">
        <color auto="1"/>
      </left>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hair">
        <color indexed="64"/>
      </bottom>
      <diagonal/>
    </border>
    <border>
      <left style="medium">
        <color indexed="64"/>
      </left>
      <right style="hair">
        <color indexed="64"/>
      </right>
      <top/>
      <bottom/>
      <diagonal/>
    </border>
    <border>
      <left style="medium">
        <color auto="1"/>
      </left>
      <right/>
      <top style="medium">
        <color auto="1"/>
      </top>
      <bottom/>
      <diagonal/>
    </border>
    <border>
      <left style="hair">
        <color indexed="64"/>
      </left>
      <right style="thin">
        <color indexed="64"/>
      </right>
      <top style="thin">
        <color indexed="64"/>
      </top>
      <bottom/>
      <diagonal/>
    </border>
    <border>
      <left/>
      <right style="medium">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medium">
        <color indexed="64"/>
      </left>
      <right style="hair">
        <color indexed="64"/>
      </right>
      <top style="thin">
        <color indexed="64"/>
      </top>
      <bottom/>
      <diagonal/>
    </border>
    <border>
      <left style="hair">
        <color indexed="64"/>
      </left>
      <right/>
      <top style="thin">
        <color indexed="64"/>
      </top>
      <bottom style="hair">
        <color indexed="64"/>
      </bottom>
      <diagonal/>
    </border>
    <border>
      <left style="medium">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right style="medium">
        <color indexed="64"/>
      </right>
      <top style="medium">
        <color rgb="FFFF0000"/>
      </top>
      <bottom/>
      <diagonal/>
    </border>
    <border>
      <left style="medium">
        <color auto="1"/>
      </left>
      <right/>
      <top style="medium">
        <color rgb="FFFF0000"/>
      </top>
      <bottom/>
      <diagonal/>
    </border>
    <border>
      <left/>
      <right style="thin">
        <color indexed="64"/>
      </right>
      <top style="medium">
        <color rgb="FFFF0000"/>
      </top>
      <bottom/>
      <diagonal/>
    </border>
    <border>
      <left/>
      <right/>
      <top style="medium">
        <color rgb="FFFF0000"/>
      </top>
      <bottom/>
      <diagonal/>
    </border>
    <border>
      <left/>
      <right style="thin">
        <color indexed="64"/>
      </right>
      <top style="hair">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rgb="FFFF0000"/>
      </top>
      <bottom/>
      <diagonal/>
    </border>
    <border>
      <left style="thin">
        <color indexed="64"/>
      </left>
      <right/>
      <top style="medium">
        <color rgb="FFFF0000"/>
      </top>
      <bottom/>
      <diagonal/>
    </border>
    <border>
      <left style="thin">
        <color indexed="64"/>
      </left>
      <right style="thin">
        <color indexed="64"/>
      </right>
      <top/>
      <bottom style="medium">
        <color rgb="FFC00000"/>
      </bottom>
      <diagonal/>
    </border>
    <border>
      <left style="medium">
        <color auto="1"/>
      </left>
      <right/>
      <top style="medium">
        <color rgb="FFC00000"/>
      </top>
      <bottom/>
      <diagonal/>
    </border>
    <border>
      <left/>
      <right/>
      <top style="medium">
        <color rgb="FFC00000"/>
      </top>
      <bottom/>
      <diagonal/>
    </border>
    <border>
      <left/>
      <right style="thin">
        <color indexed="64"/>
      </right>
      <top style="medium">
        <color rgb="FFC00000"/>
      </top>
      <bottom/>
      <diagonal/>
    </border>
    <border>
      <left style="thin">
        <color indexed="64"/>
      </left>
      <right/>
      <top style="medium">
        <color rgb="FFC00000"/>
      </top>
      <bottom style="thin">
        <color indexed="64"/>
      </bottom>
      <diagonal/>
    </border>
    <border>
      <left/>
      <right style="thin">
        <color indexed="64"/>
      </right>
      <top style="medium">
        <color rgb="FFC00000"/>
      </top>
      <bottom style="thin">
        <color indexed="64"/>
      </bottom>
      <diagonal/>
    </border>
    <border>
      <left style="thin">
        <color indexed="64"/>
      </left>
      <right style="hair">
        <color indexed="64"/>
      </right>
      <top style="medium">
        <color rgb="FFC00000"/>
      </top>
      <bottom style="thin">
        <color indexed="64"/>
      </bottom>
      <diagonal/>
    </border>
    <border>
      <left style="hair">
        <color indexed="64"/>
      </left>
      <right style="thin">
        <color indexed="64"/>
      </right>
      <top style="medium">
        <color rgb="FFC00000"/>
      </top>
      <bottom style="thin">
        <color indexed="64"/>
      </bottom>
      <diagonal/>
    </border>
    <border>
      <left style="thin">
        <color indexed="64"/>
      </left>
      <right style="thin">
        <color indexed="64"/>
      </right>
      <top style="medium">
        <color rgb="FFC00000"/>
      </top>
      <bottom style="thin">
        <color indexed="64"/>
      </bottom>
      <diagonal/>
    </border>
    <border>
      <left/>
      <right style="medium">
        <color indexed="64"/>
      </right>
      <top style="medium">
        <color rgb="FFC00000"/>
      </top>
      <bottom/>
      <diagonal/>
    </border>
    <border>
      <left style="medium">
        <color auto="1"/>
      </left>
      <right/>
      <top/>
      <bottom style="medium">
        <color theme="2" tint="-0.499984740745262"/>
      </bottom>
      <diagonal/>
    </border>
    <border>
      <left/>
      <right style="thin">
        <color indexed="64"/>
      </right>
      <top/>
      <bottom style="medium">
        <color theme="2" tint="-0.499984740745262"/>
      </bottom>
      <diagonal/>
    </border>
    <border>
      <left style="thin">
        <color indexed="64"/>
      </left>
      <right/>
      <top/>
      <bottom style="medium">
        <color theme="2" tint="-0.499984740745262"/>
      </bottom>
      <diagonal/>
    </border>
    <border>
      <left style="thin">
        <color indexed="64"/>
      </left>
      <right/>
      <top style="thin">
        <color indexed="64"/>
      </top>
      <bottom style="medium">
        <color theme="2" tint="-0.499984740745262"/>
      </bottom>
      <diagonal/>
    </border>
    <border>
      <left/>
      <right style="thin">
        <color indexed="64"/>
      </right>
      <top style="thin">
        <color indexed="64"/>
      </top>
      <bottom style="medium">
        <color theme="2" tint="-0.499984740745262"/>
      </bottom>
      <diagonal/>
    </border>
    <border>
      <left style="thin">
        <color indexed="64"/>
      </left>
      <right style="thin">
        <color indexed="64"/>
      </right>
      <top/>
      <bottom style="medium">
        <color theme="2" tint="-0.499984740745262"/>
      </bottom>
      <diagonal/>
    </border>
    <border>
      <left style="thin">
        <color indexed="64"/>
      </left>
      <right style="thin">
        <color indexed="64"/>
      </right>
      <top style="thin">
        <color indexed="64"/>
      </top>
      <bottom style="medium">
        <color theme="2" tint="-0.499984740745262"/>
      </bottom>
      <diagonal/>
    </border>
    <border>
      <left/>
      <right style="medium">
        <color indexed="64"/>
      </right>
      <top/>
      <bottom style="medium">
        <color theme="2" tint="-0.499984740745262"/>
      </bottom>
      <diagonal/>
    </border>
    <border>
      <left/>
      <right/>
      <top/>
      <bottom style="medium">
        <color theme="2" tint="-0.499984740745262"/>
      </bottom>
      <diagonal/>
    </border>
    <border>
      <left/>
      <right/>
      <top style="thin">
        <color indexed="64"/>
      </top>
      <bottom style="medium">
        <color theme="2" tint="-0.499984740745262"/>
      </bottom>
      <diagonal/>
    </border>
    <border>
      <left style="thin">
        <color indexed="64"/>
      </left>
      <right style="medium">
        <color indexed="64"/>
      </right>
      <top/>
      <bottom style="medium">
        <color theme="2" tint="-0.499984740745262"/>
      </bottom>
      <diagonal/>
    </border>
    <border>
      <left style="thin">
        <color indexed="64"/>
      </left>
      <right style="thin">
        <color indexed="64"/>
      </right>
      <top style="medium">
        <color rgb="FFC00000"/>
      </top>
      <bottom/>
      <diagonal/>
    </border>
    <border>
      <left style="thin">
        <color indexed="64"/>
      </left>
      <right/>
      <top style="medium">
        <color rgb="FFC00000"/>
      </top>
      <bottom/>
      <diagonal/>
    </border>
    <border>
      <left/>
      <right/>
      <top style="medium">
        <color rgb="FFC00000"/>
      </top>
      <bottom style="thin">
        <color indexed="64"/>
      </bottom>
      <diagonal/>
    </border>
    <border>
      <left/>
      <right style="hair">
        <color theme="1"/>
      </right>
      <top style="medium">
        <color rgb="FFC00000"/>
      </top>
      <bottom/>
      <diagonal/>
    </border>
    <border>
      <left style="thin">
        <color indexed="64"/>
      </left>
      <right style="hair">
        <color theme="1"/>
      </right>
      <top/>
      <bottom style="thin">
        <color indexed="64"/>
      </bottom>
      <diagonal/>
    </border>
    <border>
      <left/>
      <right style="hair">
        <color indexed="64"/>
      </right>
      <top style="medium">
        <color rgb="FFC00000"/>
      </top>
      <bottom/>
      <diagonal/>
    </border>
    <border>
      <left/>
      <right style="hair">
        <color indexed="64"/>
      </right>
      <top/>
      <bottom style="thin">
        <color indexed="64"/>
      </bottom>
      <diagonal/>
    </border>
    <border>
      <left style="thin">
        <color indexed="64"/>
      </left>
      <right style="hair">
        <color theme="1"/>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top/>
      <bottom style="thin">
        <color theme="1"/>
      </bottom>
      <diagonal/>
    </border>
    <border>
      <left/>
      <right style="medium">
        <color indexed="64"/>
      </right>
      <top/>
      <bottom style="thin">
        <color theme="1"/>
      </bottom>
      <diagonal/>
    </border>
    <border>
      <left/>
      <right style="hair">
        <color theme="1"/>
      </right>
      <top/>
      <bottom style="thin">
        <color auto="1"/>
      </bottom>
      <diagonal/>
    </border>
    <border>
      <left/>
      <right style="hair">
        <color theme="1"/>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style="thin">
        <color indexed="64"/>
      </left>
      <right style="hair">
        <color indexed="64"/>
      </right>
      <top/>
      <bottom style="thin">
        <color theme="1"/>
      </bottom>
      <diagonal/>
    </border>
    <border>
      <left style="hair">
        <color indexed="64"/>
      </left>
      <right style="thin">
        <color indexed="64"/>
      </right>
      <top style="thin">
        <color indexed="64"/>
      </top>
      <bottom style="thin">
        <color theme="1"/>
      </bottom>
      <diagonal/>
    </border>
    <border>
      <left style="thin">
        <color indexed="64"/>
      </left>
      <right style="hair">
        <color indexed="64"/>
      </right>
      <top style="medium">
        <color rgb="FFC00000"/>
      </top>
      <bottom/>
      <diagonal/>
    </border>
    <border>
      <left style="thin">
        <color indexed="64"/>
      </left>
      <right style="thin">
        <color indexed="64"/>
      </right>
      <top style="thin">
        <color theme="1"/>
      </top>
      <bottom/>
      <diagonal/>
    </border>
    <border>
      <left style="thin">
        <color indexed="64"/>
      </left>
      <right style="hair">
        <color indexed="64"/>
      </right>
      <top style="medium">
        <color rgb="FFC00000"/>
      </top>
      <bottom style="thin">
        <color theme="1"/>
      </bottom>
      <diagonal/>
    </border>
    <border>
      <left style="hair">
        <color indexed="64"/>
      </left>
      <right style="thin">
        <color indexed="64"/>
      </right>
      <top style="thin">
        <color theme="1"/>
      </top>
      <bottom style="thin">
        <color theme="1"/>
      </bottom>
      <diagonal/>
    </border>
    <border>
      <left style="hair">
        <color indexed="64"/>
      </left>
      <right style="thin">
        <color indexed="64"/>
      </right>
      <top style="thin">
        <color theme="1"/>
      </top>
      <bottom style="thin">
        <color indexed="64"/>
      </bottom>
      <diagonal/>
    </border>
    <border>
      <left style="hair">
        <color indexed="64"/>
      </left>
      <right style="thin">
        <color indexed="64"/>
      </right>
      <top/>
      <bottom style="thin">
        <color theme="1"/>
      </bottom>
      <diagonal/>
    </border>
    <border>
      <left style="hair">
        <color indexed="64"/>
      </left>
      <right style="thin">
        <color indexed="64"/>
      </right>
      <top style="thin">
        <color theme="1"/>
      </top>
      <bottom/>
      <diagonal/>
    </border>
    <border>
      <left style="hair">
        <color theme="1"/>
      </left>
      <right/>
      <top style="medium">
        <color rgb="FFC00000"/>
      </top>
      <bottom style="thin">
        <color indexed="64"/>
      </bottom>
      <diagonal/>
    </border>
    <border>
      <left/>
      <right style="medium">
        <color indexed="64"/>
      </right>
      <top style="medium">
        <color rgb="FFC00000"/>
      </top>
      <bottom style="thin">
        <color indexed="64"/>
      </bottom>
      <diagonal/>
    </border>
    <border>
      <left style="thin">
        <color indexed="64"/>
      </left>
      <right style="hair">
        <color indexed="64"/>
      </right>
      <top style="thin">
        <color theme="1"/>
      </top>
      <bottom style="thin">
        <color indexed="64"/>
      </bottom>
      <diagonal/>
    </border>
    <border>
      <left style="thin">
        <color indexed="64"/>
      </left>
      <right/>
      <top style="hair">
        <color indexed="64"/>
      </top>
      <bottom style="medium">
        <color rgb="FFC00000"/>
      </bottom>
      <diagonal/>
    </border>
    <border>
      <left style="thin">
        <color theme="1"/>
      </left>
      <right style="thin">
        <color indexed="64"/>
      </right>
      <top style="thin">
        <color theme="1"/>
      </top>
      <bottom/>
      <diagonal/>
    </border>
    <border>
      <left style="thin">
        <color theme="1"/>
      </left>
      <right style="thin">
        <color indexed="64"/>
      </right>
      <top/>
      <bottom style="medium">
        <color rgb="FFC00000"/>
      </bottom>
      <diagonal/>
    </border>
    <border>
      <left style="thin">
        <color indexed="64"/>
      </left>
      <right style="thin">
        <color theme="1"/>
      </right>
      <top style="medium">
        <color rgb="FFC00000"/>
      </top>
      <bottom style="thin">
        <color theme="1"/>
      </bottom>
      <diagonal/>
    </border>
    <border>
      <left style="thin">
        <color indexed="64"/>
      </left>
      <right style="hair">
        <color indexed="64"/>
      </right>
      <top style="thin">
        <color theme="1"/>
      </top>
      <bottom style="medium">
        <color theme="1"/>
      </bottom>
      <diagonal/>
    </border>
  </borders>
  <cellStyleXfs count="4">
    <xf numFmtId="0" fontId="0" fillId="0" borderId="0"/>
    <xf numFmtId="0" fontId="50" fillId="0" borderId="0"/>
    <xf numFmtId="0" fontId="51" fillId="0" borderId="0" applyNumberFormat="0" applyFill="0" applyBorder="0" applyAlignment="0" applyProtection="0">
      <alignment vertical="top"/>
      <protection locked="0"/>
    </xf>
    <xf numFmtId="0" fontId="105" fillId="13" borderId="0" applyNumberFormat="0" applyBorder="0" applyAlignment="0" applyProtection="0"/>
  </cellStyleXfs>
  <cellXfs count="1125">
    <xf numFmtId="0" fontId="0" fillId="0" borderId="0" xfId="0"/>
    <xf numFmtId="0" fontId="0" fillId="0" borderId="0" xfId="0" applyAlignment="1">
      <alignment vertical="center" wrapText="1"/>
    </xf>
    <xf numFmtId="0" fontId="0" fillId="0" borderId="0" xfId="0" applyAlignment="1">
      <alignment horizontal="center" vertical="center"/>
    </xf>
    <xf numFmtId="0" fontId="4" fillId="0" borderId="0" xfId="0" applyFont="1" applyAlignment="1">
      <alignment vertical="center"/>
    </xf>
    <xf numFmtId="0" fontId="0" fillId="0" borderId="0" xfId="0" applyAlignment="1">
      <alignment vertical="center"/>
    </xf>
    <xf numFmtId="0" fontId="0" fillId="0" borderId="0" xfId="0" applyAlignment="1">
      <alignment wrapText="1"/>
    </xf>
    <xf numFmtId="9" fontId="4" fillId="0" borderId="0" xfId="0" applyNumberFormat="1" applyFont="1" applyAlignment="1">
      <alignment vertical="center"/>
    </xf>
    <xf numFmtId="0" fontId="0" fillId="0" borderId="12" xfId="0" applyBorder="1"/>
    <xf numFmtId="0" fontId="6" fillId="0" borderId="0" xfId="0" applyFont="1"/>
    <xf numFmtId="0" fontId="9" fillId="0" borderId="0" xfId="0" applyFont="1" applyAlignment="1">
      <alignment horizontal="center" vertical="center"/>
    </xf>
    <xf numFmtId="0" fontId="0" fillId="0" borderId="0" xfId="0" applyAlignment="1">
      <alignment horizontal="left" vertical="center" wrapText="1"/>
    </xf>
    <xf numFmtId="0" fontId="8" fillId="0" borderId="21" xfId="0" applyFont="1" applyBorder="1" applyAlignment="1">
      <alignment vertical="center" wrapText="1"/>
    </xf>
    <xf numFmtId="0" fontId="6" fillId="0" borderId="4" xfId="0" applyFont="1" applyBorder="1"/>
    <xf numFmtId="0" fontId="3" fillId="0" borderId="0" xfId="0" applyFont="1"/>
    <xf numFmtId="0" fontId="0" fillId="0" borderId="0" xfId="0" applyAlignment="1">
      <alignment horizontal="left" vertical="center"/>
    </xf>
    <xf numFmtId="0" fontId="3" fillId="0" borderId="13" xfId="0" applyFont="1" applyBorder="1" applyAlignment="1">
      <alignment wrapText="1"/>
    </xf>
    <xf numFmtId="0" fontId="6" fillId="0" borderId="0" xfId="0" applyFont="1" applyAlignment="1">
      <alignment wrapText="1"/>
    </xf>
    <xf numFmtId="0" fontId="0" fillId="0" borderId="0" xfId="0" applyAlignment="1">
      <alignment horizontal="center" vertical="center" wrapText="1"/>
    </xf>
    <xf numFmtId="0" fontId="0" fillId="6" borderId="0" xfId="0" applyFill="1"/>
    <xf numFmtId="0" fontId="3" fillId="6" borderId="13" xfId="0" applyFont="1" applyFill="1" applyBorder="1" applyAlignment="1">
      <alignment wrapText="1"/>
    </xf>
    <xf numFmtId="0" fontId="0" fillId="6" borderId="0" xfId="0" applyFill="1" applyAlignment="1">
      <alignment vertical="center"/>
    </xf>
    <xf numFmtId="9" fontId="4" fillId="6" borderId="0" xfId="0" applyNumberFormat="1" applyFont="1" applyFill="1" applyAlignment="1">
      <alignment vertical="center"/>
    </xf>
    <xf numFmtId="0" fontId="4" fillId="6" borderId="0" xfId="0" applyFont="1" applyFill="1" applyAlignment="1">
      <alignment vertical="center"/>
    </xf>
    <xf numFmtId="0" fontId="6" fillId="6" borderId="0" xfId="0" applyFont="1" applyFill="1"/>
    <xf numFmtId="0" fontId="6" fillId="6" borderId="0" xfId="0" applyFont="1" applyFill="1" applyAlignment="1">
      <alignment horizontal="center" vertical="center"/>
    </xf>
    <xf numFmtId="9" fontId="15" fillId="0" borderId="0" xfId="0" applyNumberFormat="1" applyFont="1" applyAlignment="1">
      <alignment vertical="center"/>
    </xf>
    <xf numFmtId="0" fontId="1" fillId="4" borderId="1" xfId="0" applyFont="1" applyFill="1" applyBorder="1" applyAlignment="1">
      <alignment vertical="center" wrapText="1"/>
    </xf>
    <xf numFmtId="0" fontId="16" fillId="5" borderId="1" xfId="0" applyFont="1" applyFill="1" applyBorder="1" applyAlignment="1">
      <alignment horizontal="center" vertical="center"/>
    </xf>
    <xf numFmtId="0" fontId="0" fillId="0" borderId="0" xfId="0" applyAlignment="1">
      <alignment horizontal="right" vertical="center"/>
    </xf>
    <xf numFmtId="0" fontId="3" fillId="0" borderId="0" xfId="0" applyFont="1" applyAlignment="1">
      <alignment wrapText="1"/>
    </xf>
    <xf numFmtId="0" fontId="16" fillId="5" borderId="1" xfId="0" applyFont="1" applyFill="1" applyBorder="1" applyAlignment="1">
      <alignment horizontal="center" vertical="center" wrapText="1"/>
    </xf>
    <xf numFmtId="0" fontId="2" fillId="4" borderId="1" xfId="0" applyFont="1" applyFill="1" applyBorder="1" applyAlignment="1">
      <alignment vertical="center" wrapText="1"/>
    </xf>
    <xf numFmtId="0" fontId="6" fillId="2" borderId="1" xfId="0" applyFont="1" applyFill="1" applyBorder="1" applyAlignment="1">
      <alignment vertical="center"/>
    </xf>
    <xf numFmtId="0" fontId="10" fillId="2" borderId="1" xfId="0" applyFont="1" applyFill="1" applyBorder="1" applyAlignment="1">
      <alignment vertical="center" wrapText="1"/>
    </xf>
    <xf numFmtId="0" fontId="8" fillId="2" borderId="1" xfId="0" applyFont="1" applyFill="1" applyBorder="1" applyAlignment="1">
      <alignment horizontal="left" vertical="center" wrapText="1"/>
    </xf>
    <xf numFmtId="0" fontId="0" fillId="2" borderId="1" xfId="0" applyFill="1" applyBorder="1" applyAlignment="1">
      <alignment vertical="center"/>
    </xf>
    <xf numFmtId="0" fontId="0" fillId="2" borderId="2" xfId="0" applyFill="1" applyBorder="1"/>
    <xf numFmtId="0" fontId="2" fillId="2" borderId="10" xfId="0" applyFont="1" applyFill="1" applyBorder="1" applyAlignment="1">
      <alignment vertical="center"/>
    </xf>
    <xf numFmtId="0" fontId="2" fillId="2" borderId="1" xfId="0" applyFont="1" applyFill="1" applyBorder="1" applyAlignment="1">
      <alignment vertical="center" wrapText="1"/>
    </xf>
    <xf numFmtId="0" fontId="7" fillId="2" borderId="2" xfId="0" applyFont="1" applyFill="1" applyBorder="1"/>
    <xf numFmtId="0" fontId="6" fillId="2" borderId="10" xfId="0" applyFont="1" applyFill="1" applyBorder="1" applyAlignment="1">
      <alignment vertical="center"/>
    </xf>
    <xf numFmtId="0" fontId="6" fillId="2" borderId="8" xfId="0" applyFont="1" applyFill="1" applyBorder="1" applyAlignment="1">
      <alignment vertical="center"/>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20" fillId="5" borderId="1" xfId="0" applyFont="1" applyFill="1" applyBorder="1" applyAlignment="1">
      <alignment vertical="center" wrapText="1"/>
    </xf>
    <xf numFmtId="0" fontId="14" fillId="2" borderId="1" xfId="0" applyFont="1" applyFill="1" applyBorder="1" applyAlignment="1">
      <alignment horizontal="left" vertical="center" wrapText="1"/>
    </xf>
    <xf numFmtId="0" fontId="3" fillId="2" borderId="1" xfId="0" applyFont="1" applyFill="1" applyBorder="1" applyAlignment="1">
      <alignment vertical="center" wrapText="1"/>
    </xf>
    <xf numFmtId="0" fontId="6" fillId="2" borderId="2" xfId="0" applyFont="1" applyFill="1" applyBorder="1"/>
    <xf numFmtId="0" fontId="18" fillId="2" borderId="1" xfId="0" applyFont="1" applyFill="1" applyBorder="1" applyAlignment="1">
      <alignment vertical="center"/>
    </xf>
    <xf numFmtId="0" fontId="7" fillId="2" borderId="18" xfId="0" applyFont="1" applyFill="1" applyBorder="1"/>
    <xf numFmtId="0" fontId="18" fillId="2" borderId="1" xfId="0" applyFont="1" applyFill="1" applyBorder="1" applyAlignment="1">
      <alignment vertical="center" wrapText="1"/>
    </xf>
    <xf numFmtId="0" fontId="17" fillId="2" borderId="1" xfId="0" applyFont="1" applyFill="1" applyBorder="1" applyAlignment="1">
      <alignment vertical="center" wrapText="1"/>
    </xf>
    <xf numFmtId="0" fontId="19" fillId="2" borderId="1" xfId="0" applyFont="1" applyFill="1" applyBorder="1" applyAlignment="1">
      <alignment vertical="center"/>
    </xf>
    <xf numFmtId="0" fontId="19" fillId="2" borderId="1" xfId="0" applyFont="1" applyFill="1" applyBorder="1" applyAlignment="1">
      <alignment vertical="center" wrapText="1"/>
    </xf>
    <xf numFmtId="0" fontId="6" fillId="2" borderId="2"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17" fillId="2" borderId="1" xfId="0" applyFont="1" applyFill="1" applyBorder="1" applyAlignment="1">
      <alignment vertical="center"/>
    </xf>
    <xf numFmtId="0" fontId="3" fillId="2" borderId="1" xfId="0" applyFont="1" applyFill="1" applyBorder="1" applyAlignment="1">
      <alignment vertical="center"/>
    </xf>
    <xf numFmtId="0" fontId="21" fillId="2" borderId="1" xfId="0" applyFont="1" applyFill="1" applyBorder="1" applyAlignment="1">
      <alignment vertical="center" wrapText="1"/>
    </xf>
    <xf numFmtId="0" fontId="24" fillId="2" borderId="1" xfId="0" applyFont="1" applyFill="1" applyBorder="1" applyAlignment="1">
      <alignment vertical="center" wrapText="1"/>
    </xf>
    <xf numFmtId="0" fontId="25" fillId="2" borderId="1" xfId="0" applyFont="1" applyFill="1" applyBorder="1" applyAlignment="1">
      <alignment vertical="center" wrapText="1"/>
    </xf>
    <xf numFmtId="0" fontId="25" fillId="2" borderId="11" xfId="0" applyFont="1" applyFill="1" applyBorder="1" applyAlignment="1">
      <alignment vertical="center" wrapText="1"/>
    </xf>
    <xf numFmtId="0" fontId="8" fillId="2" borderId="1" xfId="0" applyFont="1" applyFill="1" applyBorder="1" applyAlignment="1">
      <alignment vertical="center" wrapText="1"/>
    </xf>
    <xf numFmtId="0" fontId="8" fillId="4" borderId="1" xfId="0" applyFont="1" applyFill="1" applyBorder="1" applyAlignment="1">
      <alignment vertical="center" wrapText="1"/>
    </xf>
    <xf numFmtId="0" fontId="24" fillId="2" borderId="11" xfId="0" applyFont="1" applyFill="1" applyBorder="1" applyAlignment="1">
      <alignment vertical="center" wrapText="1"/>
    </xf>
    <xf numFmtId="0" fontId="8" fillId="2" borderId="11" xfId="0" applyFont="1" applyFill="1" applyBorder="1" applyAlignment="1">
      <alignment vertical="center" wrapText="1"/>
    </xf>
    <xf numFmtId="0" fontId="22" fillId="2" borderId="1" xfId="0" applyFont="1" applyFill="1" applyBorder="1" applyAlignment="1">
      <alignment vertical="center" wrapText="1"/>
    </xf>
    <xf numFmtId="0" fontId="18" fillId="2" borderId="1" xfId="0" applyFont="1" applyFill="1" applyBorder="1" applyAlignment="1">
      <alignment horizontal="left" vertical="center" wrapText="1"/>
    </xf>
    <xf numFmtId="9" fontId="4" fillId="4" borderId="1" xfId="0" applyNumberFormat="1" applyFont="1" applyFill="1" applyBorder="1" applyAlignment="1">
      <alignment vertical="center"/>
    </xf>
    <xf numFmtId="0" fontId="0" fillId="4" borderId="1" xfId="0" applyFill="1" applyBorder="1" applyAlignment="1">
      <alignment horizontal="center" vertical="center"/>
    </xf>
    <xf numFmtId="9" fontId="0" fillId="4" borderId="1" xfId="0" applyNumberFormat="1" applyFill="1" applyBorder="1" applyAlignment="1">
      <alignment horizontal="center" vertical="center"/>
    </xf>
    <xf numFmtId="0" fontId="27" fillId="4" borderId="0" xfId="0" applyFont="1" applyFill="1" applyAlignment="1">
      <alignment vertical="center"/>
    </xf>
    <xf numFmtId="0" fontId="29" fillId="4" borderId="0" xfId="0" applyFont="1" applyFill="1" applyAlignment="1">
      <alignment vertical="center"/>
    </xf>
    <xf numFmtId="0" fontId="27" fillId="4" borderId="0" xfId="0" applyFont="1" applyFill="1" applyAlignment="1">
      <alignment vertical="center" wrapText="1"/>
    </xf>
    <xf numFmtId="0" fontId="29" fillId="4" borderId="0" xfId="0" applyFont="1" applyFill="1" applyAlignment="1">
      <alignment vertical="center" wrapText="1"/>
    </xf>
    <xf numFmtId="0" fontId="34" fillId="0" borderId="0" xfId="0" applyFont="1" applyAlignment="1">
      <alignment horizontal="center" vertical="center"/>
    </xf>
    <xf numFmtId="0" fontId="34" fillId="2" borderId="1" xfId="0" applyFont="1" applyFill="1" applyBorder="1" applyAlignment="1">
      <alignment vertical="center"/>
    </xf>
    <xf numFmtId="0" fontId="34" fillId="2" borderId="1" xfId="0" applyFont="1" applyFill="1" applyBorder="1" applyAlignment="1">
      <alignment horizontal="left" vertical="center" wrapText="1"/>
    </xf>
    <xf numFmtId="0" fontId="2" fillId="4" borderId="2" xfId="0" applyFont="1" applyFill="1" applyBorder="1" applyAlignment="1">
      <alignment vertical="center" wrapText="1"/>
    </xf>
    <xf numFmtId="0" fontId="35" fillId="2" borderId="1" xfId="0" applyFont="1" applyFill="1" applyBorder="1" applyAlignment="1">
      <alignment vertical="center" wrapText="1"/>
    </xf>
    <xf numFmtId="0" fontId="0" fillId="2" borderId="1" xfId="0" applyFill="1" applyBorder="1" applyAlignment="1">
      <alignment vertical="center" wrapText="1"/>
    </xf>
    <xf numFmtId="0" fontId="36" fillId="0" borderId="0" xfId="0" applyFont="1" applyAlignment="1">
      <alignment vertical="center"/>
    </xf>
    <xf numFmtId="0" fontId="8" fillId="4" borderId="7" xfId="0" applyFont="1" applyFill="1" applyBorder="1" applyAlignment="1">
      <alignment vertical="center" wrapText="1"/>
    </xf>
    <xf numFmtId="0" fontId="6" fillId="2" borderId="2" xfId="0" applyFont="1" applyFill="1" applyBorder="1" applyAlignment="1">
      <alignment vertical="center" wrapText="1"/>
    </xf>
    <xf numFmtId="0" fontId="38" fillId="2" borderId="1" xfId="0" applyFont="1" applyFill="1" applyBorder="1" applyAlignment="1">
      <alignment vertical="center"/>
    </xf>
    <xf numFmtId="0" fontId="39" fillId="2" borderId="1" xfId="0" applyFont="1" applyFill="1" applyBorder="1" applyAlignment="1">
      <alignment vertical="center" wrapText="1"/>
    </xf>
    <xf numFmtId="0" fontId="32" fillId="0" borderId="0" xfId="0" applyFont="1" applyAlignment="1">
      <alignment horizontal="left" vertical="center" wrapText="1"/>
    </xf>
    <xf numFmtId="0" fontId="6" fillId="0" borderId="0" xfId="0" applyFont="1" applyAlignment="1">
      <alignment horizontal="left" vertical="center" wrapText="1"/>
    </xf>
    <xf numFmtId="0" fontId="39" fillId="7" borderId="1" xfId="0" applyFont="1" applyFill="1" applyBorder="1" applyAlignment="1">
      <alignment horizontal="left" vertical="center" wrapText="1"/>
    </xf>
    <xf numFmtId="0" fontId="39" fillId="7" borderId="1" xfId="0" applyFont="1" applyFill="1" applyBorder="1" applyAlignment="1">
      <alignment vertical="center" wrapText="1"/>
    </xf>
    <xf numFmtId="0" fontId="18" fillId="7" borderId="1" xfId="0" applyFont="1" applyFill="1" applyBorder="1" applyAlignment="1">
      <alignment vertical="center"/>
    </xf>
    <xf numFmtId="0" fontId="0" fillId="7" borderId="1" xfId="0" applyFill="1" applyBorder="1" applyAlignment="1">
      <alignment horizontal="left" vertical="center" wrapText="1"/>
    </xf>
    <xf numFmtId="0" fontId="0" fillId="7" borderId="1" xfId="0" applyFill="1" applyBorder="1" applyAlignment="1">
      <alignment vertical="center" wrapText="1"/>
    </xf>
    <xf numFmtId="0" fontId="3" fillId="2" borderId="2" xfId="0" applyFont="1" applyFill="1" applyBorder="1" applyAlignment="1">
      <alignment vertical="center" wrapText="1"/>
    </xf>
    <xf numFmtId="0" fontId="0" fillId="4" borderId="1" xfId="0" applyFill="1" applyBorder="1" applyAlignment="1">
      <alignment vertical="center"/>
    </xf>
    <xf numFmtId="0" fontId="41" fillId="7" borderId="1" xfId="0" applyFont="1" applyFill="1" applyBorder="1" applyAlignment="1">
      <alignment horizontal="left" vertical="center" wrapText="1"/>
    </xf>
    <xf numFmtId="0" fontId="42" fillId="4" borderId="1" xfId="0" applyFont="1" applyFill="1" applyBorder="1" applyAlignment="1">
      <alignment vertical="center" wrapText="1"/>
    </xf>
    <xf numFmtId="0" fontId="24" fillId="2" borderId="8" xfId="0" applyFont="1" applyFill="1" applyBorder="1" applyAlignment="1">
      <alignment vertical="center" wrapText="1"/>
    </xf>
    <xf numFmtId="0" fontId="3" fillId="0" borderId="13" xfId="0" applyFont="1" applyBorder="1" applyAlignment="1">
      <alignment vertical="center" wrapText="1"/>
    </xf>
    <xf numFmtId="0" fontId="45" fillId="5" borderId="36" xfId="0" applyFont="1" applyFill="1" applyBorder="1" applyAlignment="1">
      <alignment horizontal="center" vertical="center" wrapText="1"/>
    </xf>
    <xf numFmtId="0" fontId="24" fillId="2" borderId="16" xfId="0" applyFont="1" applyFill="1" applyBorder="1" applyAlignment="1">
      <alignment vertical="center" wrapText="1"/>
    </xf>
    <xf numFmtId="0" fontId="6" fillId="2" borderId="8" xfId="0" applyFont="1" applyFill="1" applyBorder="1" applyAlignment="1">
      <alignment vertical="center" wrapText="1"/>
    </xf>
    <xf numFmtId="0" fontId="1" fillId="4" borderId="1" xfId="0" applyFont="1" applyFill="1" applyBorder="1" applyAlignment="1">
      <alignment vertical="center"/>
    </xf>
    <xf numFmtId="0" fontId="43" fillId="5"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0" fillId="2" borderId="0" xfId="0" applyFont="1" applyFill="1" applyAlignment="1">
      <alignment vertical="center"/>
    </xf>
    <xf numFmtId="0" fontId="26" fillId="2" borderId="0" xfId="0" applyFont="1" applyFill="1" applyAlignment="1">
      <alignment vertical="center"/>
    </xf>
    <xf numFmtId="0" fontId="31" fillId="2" borderId="0" xfId="0" applyFont="1" applyFill="1" applyAlignment="1">
      <alignment vertical="center"/>
    </xf>
    <xf numFmtId="0" fontId="2" fillId="2" borderId="0" xfId="0" applyFont="1" applyFill="1" applyAlignment="1">
      <alignment vertical="center" wrapText="1"/>
    </xf>
    <xf numFmtId="0" fontId="17" fillId="2" borderId="0" xfId="0" applyFont="1" applyFill="1" applyAlignment="1">
      <alignment vertical="center"/>
    </xf>
    <xf numFmtId="0" fontId="24" fillId="2" borderId="0" xfId="0" applyFont="1" applyFill="1" applyAlignment="1">
      <alignment vertical="center"/>
    </xf>
    <xf numFmtId="0" fontId="3" fillId="2" borderId="0" xfId="0" applyFont="1" applyFill="1" applyAlignment="1">
      <alignment vertical="center"/>
    </xf>
    <xf numFmtId="0" fontId="8" fillId="2" borderId="0" xfId="0" applyFont="1" applyFill="1" applyAlignment="1">
      <alignment vertical="center" wrapText="1"/>
    </xf>
    <xf numFmtId="0" fontId="17" fillId="2" borderId="0" xfId="0" applyFont="1" applyFill="1" applyAlignment="1">
      <alignment vertical="center" wrapText="1"/>
    </xf>
    <xf numFmtId="0" fontId="24" fillId="2" borderId="0" xfId="0" applyFont="1" applyFill="1" applyAlignment="1">
      <alignment vertical="center" wrapText="1"/>
    </xf>
    <xf numFmtId="0" fontId="24" fillId="2" borderId="0" xfId="0" applyFont="1" applyFill="1"/>
    <xf numFmtId="0" fontId="26" fillId="9" borderId="0" xfId="0" applyFont="1" applyFill="1"/>
    <xf numFmtId="0" fontId="30" fillId="9" borderId="0" xfId="0" applyFont="1" applyFill="1" applyAlignment="1">
      <alignment vertical="center"/>
    </xf>
    <xf numFmtId="9" fontId="4" fillId="9" borderId="0" xfId="0" applyNumberFormat="1" applyFont="1" applyFill="1" applyAlignment="1">
      <alignment vertical="center"/>
    </xf>
    <xf numFmtId="0" fontId="4" fillId="9" borderId="0" xfId="0" applyFont="1" applyFill="1" applyAlignment="1">
      <alignment vertical="center"/>
    </xf>
    <xf numFmtId="0" fontId="26" fillId="9" borderId="0" xfId="0" applyFont="1" applyFill="1" applyAlignment="1">
      <alignment horizontal="center" vertical="center"/>
    </xf>
    <xf numFmtId="0" fontId="0" fillId="9" borderId="0" xfId="0" applyFill="1" applyAlignment="1">
      <alignment horizontal="center" vertical="center"/>
    </xf>
    <xf numFmtId="0" fontId="46" fillId="0" borderId="0" xfId="0" applyFont="1"/>
    <xf numFmtId="0" fontId="47" fillId="0" borderId="13" xfId="0" applyFont="1" applyBorder="1" applyAlignment="1">
      <alignment wrapText="1"/>
    </xf>
    <xf numFmtId="0" fontId="46" fillId="0" borderId="0" xfId="0" applyFont="1" applyAlignment="1">
      <alignment vertical="center"/>
    </xf>
    <xf numFmtId="9" fontId="46" fillId="0" borderId="0" xfId="0" applyNumberFormat="1" applyFont="1" applyAlignment="1">
      <alignment vertical="center"/>
    </xf>
    <xf numFmtId="0" fontId="46" fillId="0" borderId="0" xfId="0" applyFont="1" applyAlignment="1">
      <alignment horizontal="center" vertical="center"/>
    </xf>
    <xf numFmtId="0" fontId="0" fillId="9" borderId="0" xfId="0" applyFill="1"/>
    <xf numFmtId="0" fontId="0" fillId="9" borderId="0" xfId="0" applyFill="1" applyAlignment="1">
      <alignment vertical="center"/>
    </xf>
    <xf numFmtId="0" fontId="0" fillId="9" borderId="0" xfId="0" applyFill="1" applyAlignment="1">
      <alignment horizontal="center" vertical="center" wrapText="1"/>
    </xf>
    <xf numFmtId="0" fontId="48" fillId="0" borderId="0" xfId="0" applyFont="1" applyAlignment="1">
      <alignment vertical="center"/>
    </xf>
    <xf numFmtId="9" fontId="3" fillId="4" borderId="1" xfId="0" applyNumberFormat="1"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xf numFmtId="0" fontId="0" fillId="2" borderId="7" xfId="0" applyFill="1" applyBorder="1" applyAlignment="1">
      <alignment horizontal="center" vertical="center"/>
    </xf>
    <xf numFmtId="0" fontId="0" fillId="4" borderId="1" xfId="0" applyFill="1" applyBorder="1"/>
    <xf numFmtId="0" fontId="49" fillId="5" borderId="11" xfId="0" applyFont="1" applyFill="1" applyBorder="1" applyAlignment="1">
      <alignment horizontal="center" vertical="center" wrapText="1"/>
    </xf>
    <xf numFmtId="15" fontId="8" fillId="0" borderId="0" xfId="0" applyNumberFormat="1" applyFont="1" applyAlignment="1">
      <alignment horizontal="center" vertical="center" wrapText="1"/>
    </xf>
    <xf numFmtId="0" fontId="0" fillId="2" borderId="1" xfId="0" applyFill="1" applyBorder="1" applyAlignment="1">
      <alignment horizontal="center" vertical="center" wrapText="1"/>
    </xf>
    <xf numFmtId="0" fontId="38" fillId="2" borderId="1" xfId="0" applyFont="1" applyFill="1" applyBorder="1" applyAlignment="1">
      <alignment vertical="center" wrapText="1"/>
    </xf>
    <xf numFmtId="0" fontId="0" fillId="4" borderId="2" xfId="0" applyFill="1" applyBorder="1" applyAlignment="1">
      <alignment horizontal="center" vertical="center"/>
    </xf>
    <xf numFmtId="0" fontId="0" fillId="4" borderId="10" xfId="0" applyFill="1" applyBorder="1" applyAlignment="1">
      <alignment horizontal="center" vertical="center"/>
    </xf>
    <xf numFmtId="0" fontId="1" fillId="4" borderId="1" xfId="0" applyFont="1" applyFill="1" applyBorder="1" applyAlignment="1">
      <alignment horizontal="center" vertical="center"/>
    </xf>
    <xf numFmtId="0" fontId="25" fillId="2" borderId="1" xfId="0" applyFont="1" applyFill="1" applyBorder="1" applyAlignment="1">
      <alignment vertical="center"/>
    </xf>
    <xf numFmtId="9" fontId="4" fillId="4" borderId="18" xfId="0" applyNumberFormat="1" applyFont="1" applyFill="1" applyBorder="1" applyAlignment="1">
      <alignment vertical="center"/>
    </xf>
    <xf numFmtId="0" fontId="8" fillId="4" borderId="17" xfId="0" applyFont="1" applyFill="1" applyBorder="1" applyAlignment="1">
      <alignment vertical="center" wrapText="1"/>
    </xf>
    <xf numFmtId="0" fontId="3" fillId="2" borderId="1" xfId="0" applyFont="1" applyFill="1" applyBorder="1" applyAlignment="1">
      <alignment horizontal="left" vertical="center" wrapText="1"/>
    </xf>
    <xf numFmtId="0" fontId="0" fillId="4" borderId="1" xfId="0" applyFill="1" applyBorder="1" applyAlignment="1">
      <alignment vertical="center" wrapText="1"/>
    </xf>
    <xf numFmtId="0" fontId="55" fillId="8" borderId="5" xfId="0" quotePrefix="1" applyFont="1" applyFill="1" applyBorder="1" applyAlignment="1">
      <alignment horizontal="center" vertical="center" wrapText="1"/>
    </xf>
    <xf numFmtId="0" fontId="3" fillId="0" borderId="0" xfId="0" applyFont="1" applyAlignment="1">
      <alignment horizontal="center" vertical="center"/>
    </xf>
    <xf numFmtId="0" fontId="8" fillId="11" borderId="1"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54" fillId="0" borderId="0" xfId="0" applyFont="1" applyAlignment="1">
      <alignment horizontal="center"/>
    </xf>
    <xf numFmtId="0" fontId="13" fillId="0" borderId="0" xfId="0" applyFont="1" applyAlignment="1">
      <alignment horizontal="right" vertical="center" wrapText="1"/>
    </xf>
    <xf numFmtId="0" fontId="3" fillId="11" borderId="1" xfId="0" applyFont="1" applyFill="1" applyBorder="1" applyAlignment="1">
      <alignment horizontal="left" vertical="center" wrapText="1"/>
    </xf>
    <xf numFmtId="0" fontId="0" fillId="0" borderId="25" xfId="0" applyBorder="1" applyAlignment="1">
      <alignment horizontal="center" vertical="center"/>
    </xf>
    <xf numFmtId="0" fontId="0" fillId="2" borderId="8" xfId="0" applyFill="1" applyBorder="1" applyAlignment="1">
      <alignment vertical="center"/>
    </xf>
    <xf numFmtId="0" fontId="6" fillId="2" borderId="2" xfId="0" applyFont="1" applyFill="1" applyBorder="1" applyAlignment="1">
      <alignment vertical="center"/>
    </xf>
    <xf numFmtId="14" fontId="3" fillId="0" borderId="3" xfId="0" quotePrefix="1" applyNumberFormat="1" applyFont="1" applyBorder="1" applyAlignment="1">
      <alignment horizontal="right" vertical="center" wrapText="1"/>
    </xf>
    <xf numFmtId="0" fontId="28" fillId="0" borderId="0" xfId="0" applyFont="1" applyAlignment="1">
      <alignment horizontal="left"/>
    </xf>
    <xf numFmtId="0" fontId="57" fillId="4" borderId="0" xfId="0" applyFont="1" applyFill="1" applyAlignment="1">
      <alignment vertical="center"/>
    </xf>
    <xf numFmtId="0" fontId="10" fillId="0" borderId="4" xfId="0" applyFont="1" applyBorder="1" applyAlignment="1">
      <alignment vertical="center"/>
    </xf>
    <xf numFmtId="0" fontId="0" fillId="0" borderId="5" xfId="0" applyBorder="1" applyAlignment="1">
      <alignment horizontal="center" vertical="center"/>
    </xf>
    <xf numFmtId="0" fontId="3" fillId="0" borderId="4" xfId="0" applyFont="1" applyBorder="1" applyAlignment="1">
      <alignment vertical="center"/>
    </xf>
    <xf numFmtId="14" fontId="3" fillId="0" borderId="4" xfId="0" quotePrefix="1" applyNumberFormat="1" applyFont="1" applyBorder="1" applyAlignment="1">
      <alignment horizontal="right" vertical="center" wrapText="1"/>
    </xf>
    <xf numFmtId="1" fontId="0" fillId="3" borderId="52" xfId="0" applyNumberFormat="1" applyFill="1" applyBorder="1" applyAlignment="1">
      <alignment horizontal="center" vertical="center" wrapText="1"/>
    </xf>
    <xf numFmtId="1" fontId="0" fillId="3" borderId="45" xfId="0" applyNumberFormat="1" applyFill="1" applyBorder="1" applyAlignment="1">
      <alignment horizontal="center" vertical="center" wrapText="1"/>
    </xf>
    <xf numFmtId="0" fontId="10" fillId="3" borderId="56"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52" fillId="11" borderId="37" xfId="0" applyFont="1" applyFill="1" applyBorder="1" applyAlignment="1">
      <alignment horizontal="left" vertical="center" wrapText="1"/>
    </xf>
    <xf numFmtId="0" fontId="0" fillId="4" borderId="2" xfId="0" applyFill="1" applyBorder="1"/>
    <xf numFmtId="14" fontId="3" fillId="0" borderId="65" xfId="0" quotePrefix="1" applyNumberFormat="1" applyFont="1" applyBorder="1" applyAlignment="1">
      <alignment horizontal="right" vertical="center" wrapText="1"/>
    </xf>
    <xf numFmtId="0" fontId="40" fillId="0" borderId="0" xfId="0" applyFont="1" applyAlignment="1">
      <alignment vertical="center" wrapText="1"/>
    </xf>
    <xf numFmtId="0" fontId="0" fillId="0" borderId="40" xfId="0" applyBorder="1" applyAlignment="1">
      <alignment horizontal="left" vertical="center"/>
    </xf>
    <xf numFmtId="0" fontId="40" fillId="0" borderId="41" xfId="0" applyFont="1" applyBorder="1" applyAlignment="1">
      <alignment vertical="center" wrapText="1"/>
    </xf>
    <xf numFmtId="0" fontId="28" fillId="0" borderId="0" xfId="0" applyFont="1" applyAlignment="1">
      <alignment horizontal="left" vertical="center"/>
    </xf>
    <xf numFmtId="0" fontId="59" fillId="4" borderId="0" xfId="0" applyFont="1" applyFill="1" applyAlignment="1">
      <alignment vertical="center"/>
    </xf>
    <xf numFmtId="0" fontId="58" fillId="0" borderId="35" xfId="0" applyFont="1" applyBorder="1" applyAlignment="1">
      <alignment horizontal="center" vertical="center" wrapText="1"/>
    </xf>
    <xf numFmtId="0" fontId="0" fillId="0" borderId="40" xfId="0" applyBorder="1" applyAlignment="1">
      <alignment horizontal="left" vertical="center" wrapText="1"/>
    </xf>
    <xf numFmtId="0" fontId="2" fillId="11" borderId="1" xfId="0" applyFont="1" applyFill="1" applyBorder="1" applyAlignment="1">
      <alignment horizontal="center" vertical="center" wrapText="1"/>
    </xf>
    <xf numFmtId="0" fontId="60" fillId="11" borderId="1" xfId="0" applyFont="1" applyFill="1" applyBorder="1" applyAlignment="1">
      <alignment horizontal="left" vertical="center" wrapText="1"/>
    </xf>
    <xf numFmtId="0" fontId="39" fillId="11" borderId="1" xfId="0" applyFont="1" applyFill="1" applyBorder="1" applyAlignment="1">
      <alignment horizontal="left" vertical="center" wrapText="1"/>
    </xf>
    <xf numFmtId="0" fontId="6" fillId="11" borderId="1" xfId="0" applyFont="1" applyFill="1" applyBorder="1" applyAlignment="1">
      <alignment vertical="center" wrapText="1"/>
    </xf>
    <xf numFmtId="0" fontId="60" fillId="11" borderId="36" xfId="0" applyFont="1" applyFill="1" applyBorder="1" applyAlignment="1">
      <alignment horizontal="left" vertical="center" wrapText="1"/>
    </xf>
    <xf numFmtId="0" fontId="39" fillId="11" borderId="17" xfId="0" applyFont="1" applyFill="1" applyBorder="1" applyAlignment="1">
      <alignment horizontal="left" vertical="center" wrapText="1"/>
    </xf>
    <xf numFmtId="0" fontId="25" fillId="11" borderId="1" xfId="0" applyFont="1" applyFill="1" applyBorder="1" applyAlignment="1">
      <alignment vertical="center" wrapText="1"/>
    </xf>
    <xf numFmtId="0" fontId="0" fillId="11" borderId="1" xfId="0" applyFill="1" applyBorder="1" applyAlignment="1">
      <alignment vertical="center" wrapText="1"/>
    </xf>
    <xf numFmtId="0" fontId="2" fillId="11" borderId="1" xfId="0" applyFont="1" applyFill="1" applyBorder="1" applyAlignment="1">
      <alignment horizontal="left" vertical="center"/>
    </xf>
    <xf numFmtId="0" fontId="39" fillId="11" borderId="27" xfId="0" applyFont="1" applyFill="1" applyBorder="1" applyAlignment="1">
      <alignment horizontal="left" vertical="center" wrapText="1"/>
    </xf>
    <xf numFmtId="0" fontId="22" fillId="11" borderId="1" xfId="0" applyFont="1" applyFill="1" applyBorder="1" applyAlignment="1">
      <alignment vertical="center" wrapText="1"/>
    </xf>
    <xf numFmtId="0" fontId="0" fillId="0" borderId="32" xfId="0" applyBorder="1" applyAlignment="1">
      <alignment horizontal="left" vertical="center"/>
    </xf>
    <xf numFmtId="0" fontId="0" fillId="11" borderId="1" xfId="0" applyFill="1" applyBorder="1" applyAlignment="1">
      <alignment horizontal="center" vertical="center"/>
    </xf>
    <xf numFmtId="0" fontId="3" fillId="0" borderId="0" xfId="0" applyFont="1" applyAlignment="1">
      <alignment vertical="center"/>
    </xf>
    <xf numFmtId="0" fontId="10" fillId="3" borderId="1" xfId="0" applyFont="1" applyFill="1" applyBorder="1" applyAlignment="1">
      <alignment horizontal="center" vertical="center" wrapText="1"/>
    </xf>
    <xf numFmtId="0" fontId="0" fillId="11" borderId="2" xfId="0" applyFill="1" applyBorder="1"/>
    <xf numFmtId="0" fontId="35" fillId="11" borderId="10" xfId="0" applyFont="1" applyFill="1" applyBorder="1" applyAlignment="1">
      <alignment vertical="center"/>
    </xf>
    <xf numFmtId="0" fontId="35" fillId="11" borderId="10" xfId="0" applyFont="1" applyFill="1" applyBorder="1" applyAlignment="1">
      <alignment vertical="center" wrapText="1"/>
    </xf>
    <xf numFmtId="0" fontId="18" fillId="11" borderId="10" xfId="0" applyFont="1" applyFill="1" applyBorder="1" applyAlignment="1">
      <alignment vertical="center"/>
    </xf>
    <xf numFmtId="0" fontId="61" fillId="11" borderId="1" xfId="0" applyFont="1" applyFill="1" applyBorder="1" applyAlignment="1">
      <alignment vertical="center" wrapText="1"/>
    </xf>
    <xf numFmtId="0" fontId="62" fillId="11" borderId="1" xfId="0" applyFont="1" applyFill="1" applyBorder="1" applyAlignment="1">
      <alignment vertical="center" wrapText="1"/>
    </xf>
    <xf numFmtId="0" fontId="64" fillId="7" borderId="1" xfId="0" applyFont="1" applyFill="1" applyBorder="1" applyAlignment="1">
      <alignment vertical="center" wrapText="1"/>
    </xf>
    <xf numFmtId="0" fontId="66" fillId="7" borderId="1" xfId="0" applyFont="1" applyFill="1" applyBorder="1" applyAlignment="1">
      <alignment vertical="center" wrapText="1"/>
    </xf>
    <xf numFmtId="0" fontId="67" fillId="2" borderId="1" xfId="0" applyFont="1" applyFill="1" applyBorder="1" applyAlignment="1">
      <alignment vertical="center" wrapText="1"/>
    </xf>
    <xf numFmtId="0" fontId="63" fillId="11" borderId="1" xfId="0" applyFont="1" applyFill="1" applyBorder="1" applyAlignment="1">
      <alignment vertical="center" wrapText="1"/>
    </xf>
    <xf numFmtId="0" fontId="66" fillId="11" borderId="1" xfId="0" applyFont="1" applyFill="1" applyBorder="1" applyAlignment="1">
      <alignment horizontal="left" vertical="center" wrapText="1"/>
    </xf>
    <xf numFmtId="0" fontId="65" fillId="11" borderId="1" xfId="0" applyFont="1" applyFill="1" applyBorder="1" applyAlignment="1">
      <alignment vertical="center" wrapText="1"/>
    </xf>
    <xf numFmtId="0" fontId="64" fillId="11" borderId="1" xfId="0" applyFont="1" applyFill="1" applyBorder="1" applyAlignment="1">
      <alignment vertical="center" wrapText="1"/>
    </xf>
    <xf numFmtId="0" fontId="68" fillId="2" borderId="1" xfId="0" applyFont="1" applyFill="1" applyBorder="1" applyAlignment="1">
      <alignment horizontal="left" vertical="center" wrapText="1"/>
    </xf>
    <xf numFmtId="0" fontId="69" fillId="2" borderId="1" xfId="0" applyFont="1" applyFill="1" applyBorder="1" applyAlignment="1">
      <alignment vertical="center" wrapText="1"/>
    </xf>
    <xf numFmtId="0" fontId="70" fillId="2" borderId="1" xfId="0" applyFont="1" applyFill="1" applyBorder="1" applyAlignment="1">
      <alignment vertical="center" wrapText="1"/>
    </xf>
    <xf numFmtId="0" fontId="71" fillId="2" borderId="1" xfId="0" applyFont="1" applyFill="1" applyBorder="1" applyAlignment="1">
      <alignment vertical="center"/>
    </xf>
    <xf numFmtId="0" fontId="72" fillId="2" borderId="1" xfId="0" applyFont="1" applyFill="1" applyBorder="1" applyAlignment="1">
      <alignment vertical="center" wrapText="1"/>
    </xf>
    <xf numFmtId="0" fontId="73" fillId="2" borderId="1" xfId="0" applyFont="1" applyFill="1" applyBorder="1" applyAlignment="1">
      <alignment vertical="center" wrapText="1"/>
    </xf>
    <xf numFmtId="0" fontId="74" fillId="2" borderId="1" xfId="0" applyFont="1" applyFill="1" applyBorder="1" applyAlignment="1">
      <alignment vertical="center" wrapText="1"/>
    </xf>
    <xf numFmtId="0" fontId="75" fillId="2" borderId="1" xfId="0" applyFont="1" applyFill="1" applyBorder="1" applyAlignment="1">
      <alignment vertical="center" wrapText="1"/>
    </xf>
    <xf numFmtId="0" fontId="76" fillId="2" borderId="1" xfId="0" applyFont="1" applyFill="1" applyBorder="1" applyAlignment="1">
      <alignment vertical="center" wrapText="1"/>
    </xf>
    <xf numFmtId="0" fontId="74" fillId="2" borderId="11" xfId="0" applyFont="1" applyFill="1" applyBorder="1" applyAlignment="1">
      <alignment vertical="center" wrapText="1"/>
    </xf>
    <xf numFmtId="0" fontId="74" fillId="2" borderId="18" xfId="0" applyFont="1" applyFill="1" applyBorder="1" applyAlignment="1">
      <alignment vertical="center" wrapText="1"/>
    </xf>
    <xf numFmtId="0" fontId="74" fillId="2" borderId="10" xfId="0" applyFont="1" applyFill="1" applyBorder="1" applyAlignment="1">
      <alignment vertical="center" wrapText="1"/>
    </xf>
    <xf numFmtId="0" fontId="77" fillId="2" borderId="1" xfId="0" applyFont="1" applyFill="1" applyBorder="1" applyAlignment="1">
      <alignment vertical="center" wrapText="1"/>
    </xf>
    <xf numFmtId="0" fontId="75" fillId="2" borderId="2" xfId="0" applyFont="1" applyFill="1" applyBorder="1"/>
    <xf numFmtId="0" fontId="77" fillId="2" borderId="10" xfId="0" applyFont="1" applyFill="1" applyBorder="1" applyAlignment="1">
      <alignment vertical="center"/>
    </xf>
    <xf numFmtId="0" fontId="74" fillId="2" borderId="8" xfId="0" applyFont="1" applyFill="1" applyBorder="1" applyAlignment="1">
      <alignment vertical="center" wrapText="1"/>
    </xf>
    <xf numFmtId="0" fontId="74" fillId="2" borderId="2" xfId="0" applyFont="1" applyFill="1" applyBorder="1" applyAlignment="1">
      <alignment vertical="center" wrapText="1"/>
    </xf>
    <xf numFmtId="0" fontId="73" fillId="11" borderId="1" xfId="0" applyFont="1" applyFill="1" applyBorder="1" applyAlignment="1">
      <alignment horizontal="left" vertical="center" wrapText="1"/>
    </xf>
    <xf numFmtId="0" fontId="79" fillId="2" borderId="16" xfId="0" applyFont="1" applyFill="1" applyBorder="1" applyAlignment="1">
      <alignment vertical="center" wrapText="1"/>
    </xf>
    <xf numFmtId="0" fontId="75" fillId="2" borderId="1" xfId="0" applyFont="1" applyFill="1" applyBorder="1" applyAlignment="1">
      <alignment horizontal="center" vertical="center" wrapText="1"/>
    </xf>
    <xf numFmtId="0" fontId="79" fillId="2" borderId="8" xfId="0" applyFont="1" applyFill="1" applyBorder="1" applyAlignment="1">
      <alignment vertical="center"/>
    </xf>
    <xf numFmtId="0" fontId="80" fillId="2" borderId="1" xfId="0" applyFont="1" applyFill="1" applyBorder="1" applyAlignment="1">
      <alignment vertical="center" wrapText="1"/>
    </xf>
    <xf numFmtId="0" fontId="74" fillId="2" borderId="1" xfId="0" applyFont="1" applyFill="1" applyBorder="1" applyAlignment="1">
      <alignment horizontal="left" vertical="center" wrapText="1"/>
    </xf>
    <xf numFmtId="0" fontId="74" fillId="2" borderId="16" xfId="0" applyFont="1" applyFill="1" applyBorder="1" applyAlignment="1">
      <alignment vertical="center" wrapText="1"/>
    </xf>
    <xf numFmtId="0" fontId="83" fillId="5" borderId="1" xfId="0" applyFont="1" applyFill="1" applyBorder="1" applyAlignment="1">
      <alignment vertical="center" wrapText="1"/>
    </xf>
    <xf numFmtId="0" fontId="84" fillId="12" borderId="1" xfId="0" applyFont="1" applyFill="1" applyBorder="1" applyAlignment="1">
      <alignment horizontal="left" vertical="center" wrapText="1"/>
    </xf>
    <xf numFmtId="0" fontId="0" fillId="4" borderId="18" xfId="0" applyFill="1" applyBorder="1" applyAlignment="1">
      <alignment vertical="center" wrapText="1"/>
    </xf>
    <xf numFmtId="0" fontId="0" fillId="4" borderId="36" xfId="0" applyFill="1" applyBorder="1" applyAlignment="1">
      <alignment vertical="center" wrapText="1"/>
    </xf>
    <xf numFmtId="0" fontId="78" fillId="2" borderId="1" xfId="0" applyFont="1" applyFill="1" applyBorder="1" applyAlignment="1">
      <alignment vertical="center" wrapText="1"/>
    </xf>
    <xf numFmtId="9" fontId="10" fillId="3" borderId="1" xfId="0" applyNumberFormat="1" applyFont="1" applyFill="1" applyBorder="1" applyAlignment="1">
      <alignment horizontal="center" vertical="center" wrapText="1"/>
    </xf>
    <xf numFmtId="0" fontId="0" fillId="11" borderId="10" xfId="0" applyFill="1" applyBorder="1" applyAlignment="1">
      <alignment horizontal="left" vertical="center"/>
    </xf>
    <xf numFmtId="0" fontId="88" fillId="2" borderId="0" xfId="0" applyFont="1" applyFill="1" applyAlignment="1">
      <alignment vertical="center" wrapText="1"/>
    </xf>
    <xf numFmtId="9" fontId="30" fillId="9" borderId="0" xfId="0" applyNumberFormat="1" applyFont="1" applyFill="1" applyAlignment="1">
      <alignment vertical="center"/>
    </xf>
    <xf numFmtId="0" fontId="89" fillId="2" borderId="0" xfId="0" applyFont="1" applyFill="1" applyAlignment="1">
      <alignment vertical="center"/>
    </xf>
    <xf numFmtId="0" fontId="90" fillId="2" borderId="0" xfId="0" applyFont="1" applyFill="1"/>
    <xf numFmtId="0" fontId="90" fillId="2" borderId="0" xfId="0" applyFont="1" applyFill="1" applyAlignment="1">
      <alignment vertical="center"/>
    </xf>
    <xf numFmtId="0" fontId="91" fillId="0" borderId="0" xfId="0" applyFont="1" applyAlignment="1">
      <alignment horizontal="left" vertical="center" wrapText="1"/>
    </xf>
    <xf numFmtId="0" fontId="49" fillId="4" borderId="11" xfId="0" applyFont="1" applyFill="1" applyBorder="1" applyAlignment="1">
      <alignment horizontal="center" vertical="center" wrapText="1"/>
    </xf>
    <xf numFmtId="0" fontId="43" fillId="4" borderId="9" xfId="0" applyFont="1" applyFill="1" applyBorder="1" applyAlignment="1">
      <alignment horizontal="center" vertical="center" wrapText="1"/>
    </xf>
    <xf numFmtId="0" fontId="45" fillId="4" borderId="36" xfId="0" applyFont="1" applyFill="1" applyBorder="1" applyAlignment="1">
      <alignment horizontal="center" vertical="center" wrapText="1"/>
    </xf>
    <xf numFmtId="0" fontId="0" fillId="0" borderId="6" xfId="0" applyBorder="1" applyAlignment="1">
      <alignment vertical="center"/>
    </xf>
    <xf numFmtId="0" fontId="0" fillId="11" borderId="0" xfId="0" applyFill="1" applyAlignment="1">
      <alignment vertical="center" wrapText="1"/>
    </xf>
    <xf numFmtId="0" fontId="8" fillId="4" borderId="26" xfId="0" applyFont="1" applyFill="1" applyBorder="1" applyAlignment="1">
      <alignment vertical="center" wrapText="1"/>
    </xf>
    <xf numFmtId="0" fontId="0" fillId="0" borderId="44" xfId="0" applyBorder="1" applyAlignment="1">
      <alignment horizontal="center" vertical="center"/>
    </xf>
    <xf numFmtId="0" fontId="3" fillId="0" borderId="65" xfId="0" applyFont="1" applyBorder="1" applyAlignment="1">
      <alignment vertical="center"/>
    </xf>
    <xf numFmtId="164" fontId="14" fillId="0" borderId="53" xfId="0" applyNumberFormat="1" applyFont="1" applyBorder="1" applyAlignment="1">
      <alignment horizontal="left" vertical="center" wrapText="1"/>
    </xf>
    <xf numFmtId="1" fontId="0" fillId="3" borderId="70" xfId="0" applyNumberFormat="1" applyFill="1" applyBorder="1" applyAlignment="1">
      <alignment horizontal="center" vertical="center" wrapText="1"/>
    </xf>
    <xf numFmtId="0" fontId="8" fillId="0" borderId="0" xfId="0" applyFont="1" applyAlignment="1">
      <alignment vertical="center" wrapText="1"/>
    </xf>
    <xf numFmtId="0" fontId="0" fillId="5" borderId="1" xfId="0" applyFill="1" applyBorder="1" applyAlignment="1">
      <alignment vertical="center"/>
    </xf>
    <xf numFmtId="166" fontId="14" fillId="10" borderId="15" xfId="0" applyNumberFormat="1" applyFont="1" applyFill="1" applyBorder="1" applyAlignment="1">
      <alignment horizontal="center" vertical="center" wrapText="1"/>
    </xf>
    <xf numFmtId="166" fontId="14" fillId="10" borderId="25" xfId="0" applyNumberFormat="1" applyFont="1" applyFill="1" applyBorder="1" applyAlignment="1">
      <alignment horizontal="left" vertical="center"/>
    </xf>
    <xf numFmtId="166" fontId="14" fillId="10" borderId="14" xfId="0" applyNumberFormat="1" applyFont="1" applyFill="1" applyBorder="1" applyAlignment="1">
      <alignment horizontal="left" vertical="center"/>
    </xf>
    <xf numFmtId="166" fontId="12" fillId="10" borderId="11" xfId="0" applyNumberFormat="1" applyFont="1" applyFill="1" applyBorder="1" applyAlignment="1">
      <alignment horizontal="right" vertical="center" wrapText="1"/>
    </xf>
    <xf numFmtId="0" fontId="58" fillId="0" borderId="27" xfId="0" applyFont="1" applyBorder="1" applyAlignment="1">
      <alignment horizontal="center" vertical="center" wrapText="1"/>
    </xf>
    <xf numFmtId="170" fontId="12" fillId="10" borderId="67" xfId="0" applyNumberFormat="1" applyFont="1" applyFill="1" applyBorder="1" applyAlignment="1">
      <alignment horizontal="right" vertical="center"/>
    </xf>
    <xf numFmtId="170" fontId="11" fillId="10" borderId="11" xfId="0" applyNumberFormat="1" applyFont="1" applyFill="1" applyBorder="1" applyAlignment="1">
      <alignment horizontal="right" vertical="center" wrapText="1"/>
    </xf>
    <xf numFmtId="1" fontId="0" fillId="3" borderId="3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1" fontId="0" fillId="3" borderId="46" xfId="0" applyNumberFormat="1" applyFill="1" applyBorder="1" applyAlignment="1">
      <alignment horizontal="center" vertical="center" wrapText="1"/>
    </xf>
    <xf numFmtId="0" fontId="10" fillId="3" borderId="80" xfId="0" applyFont="1" applyFill="1" applyBorder="1" applyAlignment="1">
      <alignment horizontal="center" vertical="center" wrapText="1"/>
    </xf>
    <xf numFmtId="166" fontId="14" fillId="10" borderId="15" xfId="0" applyNumberFormat="1" applyFont="1" applyFill="1" applyBorder="1" applyAlignment="1">
      <alignment horizontal="left" vertical="center" wrapText="1"/>
    </xf>
    <xf numFmtId="0" fontId="0" fillId="11" borderId="1" xfId="0" applyFill="1" applyBorder="1"/>
    <xf numFmtId="0" fontId="3"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14" fillId="11" borderId="40" xfId="0" applyFont="1" applyFill="1" applyBorder="1" applyAlignment="1">
      <alignment horizontal="left" wrapText="1"/>
    </xf>
    <xf numFmtId="0" fontId="14" fillId="11" borderId="0" xfId="0" applyFont="1" applyFill="1" applyAlignment="1">
      <alignment horizontal="left" wrapText="1"/>
    </xf>
    <xf numFmtId="0" fontId="14" fillId="11" borderId="32" xfId="0" applyFont="1" applyFill="1" applyBorder="1" applyAlignment="1">
      <alignment horizontal="left" wrapText="1"/>
    </xf>
    <xf numFmtId="0" fontId="14" fillId="11" borderId="20" xfId="0" applyFont="1" applyFill="1" applyBorder="1" applyAlignment="1">
      <alignment horizontal="left" wrapText="1"/>
    </xf>
    <xf numFmtId="0" fontId="8" fillId="11" borderId="35" xfId="0" applyFont="1" applyFill="1" applyBorder="1" applyAlignment="1">
      <alignment horizontal="left" vertical="center" wrapText="1"/>
    </xf>
    <xf numFmtId="0" fontId="8" fillId="11" borderId="40" xfId="0" applyFont="1" applyFill="1" applyBorder="1" applyAlignment="1">
      <alignment horizontal="left" vertical="center" wrapText="1"/>
    </xf>
    <xf numFmtId="0" fontId="8" fillId="11" borderId="0" xfId="0" applyFont="1" applyFill="1" applyAlignment="1">
      <alignment horizontal="left" vertical="center" wrapText="1"/>
    </xf>
    <xf numFmtId="0" fontId="6" fillId="0" borderId="0" xfId="0" applyFont="1" applyAlignment="1">
      <alignment horizontal="left" vertical="center"/>
    </xf>
    <xf numFmtId="0" fontId="97" fillId="0" borderId="0" xfId="0" applyFont="1" applyAlignment="1">
      <alignment horizontal="left" vertical="center"/>
    </xf>
    <xf numFmtId="15" fontId="10" fillId="0" borderId="0" xfId="0" applyNumberFormat="1" applyFont="1" applyAlignment="1">
      <alignment horizontal="right" vertical="center"/>
    </xf>
    <xf numFmtId="0" fontId="97" fillId="0" borderId="0" xfId="0" applyFont="1" applyAlignment="1">
      <alignment horizontal="left" vertical="center" wrapText="1"/>
    </xf>
    <xf numFmtId="0" fontId="32" fillId="0" borderId="0" xfId="0" applyFont="1" applyAlignment="1">
      <alignment horizontal="left" vertical="center"/>
    </xf>
    <xf numFmtId="0" fontId="40" fillId="0" borderId="0" xfId="0" applyFont="1" applyAlignment="1">
      <alignment horizontal="left" vertical="center" wrapText="1"/>
    </xf>
    <xf numFmtId="0" fontId="8" fillId="4" borderId="11" xfId="0" applyFont="1" applyFill="1" applyBorder="1" applyAlignment="1">
      <alignment vertical="center" wrapText="1"/>
    </xf>
    <xf numFmtId="0" fontId="8" fillId="11" borderId="11" xfId="0" applyFont="1" applyFill="1" applyBorder="1" applyAlignment="1">
      <alignment vertical="center" wrapText="1"/>
    </xf>
    <xf numFmtId="0" fontId="8" fillId="11" borderId="9" xfId="0" applyFont="1" applyFill="1" applyBorder="1" applyAlignment="1">
      <alignment vertical="center" wrapText="1"/>
    </xf>
    <xf numFmtId="0" fontId="8" fillId="11" borderId="7" xfId="0" applyFont="1" applyFill="1" applyBorder="1" applyAlignment="1">
      <alignment vertical="center" wrapText="1"/>
    </xf>
    <xf numFmtId="0" fontId="8" fillId="4" borderId="9" xfId="0" applyFont="1" applyFill="1" applyBorder="1" applyAlignment="1">
      <alignment vertical="center" wrapText="1"/>
    </xf>
    <xf numFmtId="0" fontId="6" fillId="9" borderId="0" xfId="0" applyFont="1" applyFill="1" applyAlignment="1">
      <alignment horizontal="left" vertical="center"/>
    </xf>
    <xf numFmtId="15" fontId="10" fillId="9" borderId="0" xfId="0" applyNumberFormat="1" applyFont="1" applyFill="1" applyAlignment="1">
      <alignment horizontal="right" vertical="center"/>
    </xf>
    <xf numFmtId="0" fontId="97" fillId="9" borderId="0" xfId="0" applyFont="1" applyFill="1" applyAlignment="1">
      <alignment horizontal="left" vertical="center" wrapText="1"/>
    </xf>
    <xf numFmtId="0" fontId="102" fillId="4" borderId="0" xfId="0" applyFont="1" applyFill="1" applyAlignment="1">
      <alignment vertical="center"/>
    </xf>
    <xf numFmtId="0" fontId="0" fillId="11" borderId="1" xfId="0" applyFill="1" applyBorder="1" applyAlignment="1">
      <alignment horizontal="left" vertical="center"/>
    </xf>
    <xf numFmtId="0" fontId="0" fillId="11" borderId="2" xfId="0" applyFill="1" applyBorder="1" applyAlignment="1">
      <alignment horizontal="left" vertical="center"/>
    </xf>
    <xf numFmtId="0" fontId="0" fillId="11" borderId="8" xfId="0" applyFill="1" applyBorder="1" applyAlignment="1">
      <alignment horizontal="left" vertical="center"/>
    </xf>
    <xf numFmtId="0" fontId="35" fillId="11" borderId="26" xfId="0" applyFont="1" applyFill="1" applyBorder="1" applyAlignment="1">
      <alignment vertical="center"/>
    </xf>
    <xf numFmtId="0" fontId="103" fillId="11" borderId="1" xfId="0" applyFont="1" applyFill="1" applyBorder="1" applyAlignment="1">
      <alignment vertical="center"/>
    </xf>
    <xf numFmtId="0" fontId="35" fillId="11" borderId="16" xfId="0" applyFont="1" applyFill="1" applyBorder="1" applyAlignment="1">
      <alignment vertical="center"/>
    </xf>
    <xf numFmtId="0" fontId="35" fillId="11" borderId="1" xfId="0" applyFont="1" applyFill="1" applyBorder="1" applyAlignment="1">
      <alignment vertical="center"/>
    </xf>
    <xf numFmtId="0" fontId="35" fillId="11" borderId="16" xfId="0" applyFont="1" applyFill="1" applyBorder="1" applyAlignment="1">
      <alignment vertical="center" wrapText="1"/>
    </xf>
    <xf numFmtId="0" fontId="35" fillId="11" borderId="26" xfId="0" applyFont="1" applyFill="1" applyBorder="1" applyAlignment="1">
      <alignment vertical="center" wrapText="1"/>
    </xf>
    <xf numFmtId="0" fontId="22" fillId="11" borderId="1" xfId="0" applyFont="1" applyFill="1" applyBorder="1" applyAlignment="1">
      <alignment vertical="center"/>
    </xf>
    <xf numFmtId="0" fontId="18" fillId="11" borderId="16" xfId="0" applyFont="1" applyFill="1" applyBorder="1" applyAlignment="1">
      <alignment vertical="center"/>
    </xf>
    <xf numFmtId="0" fontId="18" fillId="11" borderId="26" xfId="0" applyFont="1" applyFill="1" applyBorder="1" applyAlignment="1">
      <alignment vertical="center"/>
    </xf>
    <xf numFmtId="0" fontId="25" fillId="11" borderId="1" xfId="0" applyFont="1" applyFill="1" applyBorder="1" applyAlignment="1">
      <alignment vertical="center"/>
    </xf>
    <xf numFmtId="0" fontId="10" fillId="3" borderId="11" xfId="0" applyFont="1" applyFill="1" applyBorder="1" applyAlignment="1">
      <alignment horizontal="center" vertical="center" wrapText="1"/>
    </xf>
    <xf numFmtId="1" fontId="0" fillId="3" borderId="2" xfId="0" applyNumberFormat="1" applyFill="1" applyBorder="1" applyAlignment="1">
      <alignment horizontal="center" vertical="center" wrapText="1"/>
    </xf>
    <xf numFmtId="1" fontId="0" fillId="3" borderId="1" xfId="0" applyNumberFormat="1" applyFill="1" applyBorder="1" applyAlignment="1">
      <alignment horizontal="center" vertical="center" wrapText="1"/>
    </xf>
    <xf numFmtId="1" fontId="0" fillId="3" borderId="80" xfId="0" applyNumberForma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53" xfId="0" applyFont="1" applyFill="1" applyBorder="1" applyAlignment="1">
      <alignment horizontal="center" vertical="center" wrapText="1"/>
    </xf>
    <xf numFmtId="1" fontId="0" fillId="3" borderId="61" xfId="0" applyNumberFormat="1" applyFill="1" applyBorder="1" applyAlignment="1">
      <alignment horizontal="center" vertical="center" wrapText="1"/>
    </xf>
    <xf numFmtId="0" fontId="0" fillId="9" borderId="2" xfId="0" applyFill="1" applyBorder="1" applyAlignment="1">
      <alignment vertical="center"/>
    </xf>
    <xf numFmtId="0" fontId="0" fillId="9" borderId="10" xfId="0" applyFill="1" applyBorder="1" applyAlignment="1">
      <alignment vertical="center"/>
    </xf>
    <xf numFmtId="0" fontId="2" fillId="9" borderId="10" xfId="0" applyFont="1" applyFill="1" applyBorder="1" applyAlignment="1">
      <alignment vertical="center" wrapText="1"/>
    </xf>
    <xf numFmtId="0" fontId="2" fillId="9" borderId="8" xfId="0" applyFont="1" applyFill="1" applyBorder="1" applyAlignment="1">
      <alignment vertical="center" wrapText="1"/>
    </xf>
    <xf numFmtId="0" fontId="8" fillId="11" borderId="36" xfId="0" applyFont="1" applyFill="1" applyBorder="1" applyAlignment="1">
      <alignment horizontal="left" vertical="center" wrapText="1"/>
    </xf>
    <xf numFmtId="0" fontId="8" fillId="11" borderId="37" xfId="0" applyFont="1" applyFill="1" applyBorder="1" applyAlignment="1">
      <alignment horizontal="left" vertical="center" wrapText="1"/>
    </xf>
    <xf numFmtId="0" fontId="8" fillId="11" borderId="54" xfId="0" applyFont="1" applyFill="1" applyBorder="1" applyAlignment="1">
      <alignment horizontal="left" vertical="center" wrapText="1"/>
    </xf>
    <xf numFmtId="1" fontId="0" fillId="3" borderId="68" xfId="0" applyNumberFormat="1" applyFill="1" applyBorder="1" applyAlignment="1">
      <alignment horizontal="center" vertical="center" wrapText="1"/>
    </xf>
    <xf numFmtId="0" fontId="2" fillId="0" borderId="47" xfId="0" applyFont="1" applyBorder="1" applyAlignment="1">
      <alignment horizontal="center" vertical="center" wrapText="1"/>
    </xf>
    <xf numFmtId="0" fontId="10" fillId="11" borderId="10" xfId="0" applyFont="1" applyFill="1" applyBorder="1" applyAlignment="1">
      <alignment horizontal="left" vertical="center" wrapText="1"/>
    </xf>
    <xf numFmtId="0" fontId="14" fillId="11" borderId="40" xfId="0" applyFont="1" applyFill="1" applyBorder="1" applyAlignment="1">
      <alignment horizontal="left" vertical="top" wrapText="1"/>
    </xf>
    <xf numFmtId="0" fontId="14" fillId="11" borderId="0" xfId="0" applyFont="1" applyFill="1" applyAlignment="1">
      <alignment horizontal="left" vertical="top" wrapText="1"/>
    </xf>
    <xf numFmtId="0" fontId="14" fillId="11" borderId="37" xfId="0" applyFont="1" applyFill="1" applyBorder="1" applyAlignment="1">
      <alignment horizontal="left" vertical="top" wrapText="1"/>
    </xf>
    <xf numFmtId="1" fontId="0" fillId="3" borderId="8" xfId="0" applyNumberFormat="1" applyFill="1" applyBorder="1" applyAlignment="1">
      <alignment horizontal="center" vertical="center" wrapText="1"/>
    </xf>
    <xf numFmtId="0" fontId="3" fillId="0" borderId="1" xfId="0" applyFont="1" applyBorder="1" applyAlignment="1">
      <alignment horizontal="center" vertical="center" wrapText="1"/>
    </xf>
    <xf numFmtId="0" fontId="8" fillId="0" borderId="16" xfId="0" applyFont="1" applyBorder="1" applyAlignment="1">
      <alignment horizontal="center" vertical="center" wrapText="1"/>
    </xf>
    <xf numFmtId="0" fontId="3" fillId="0" borderId="82" xfId="0" applyFont="1" applyBorder="1" applyAlignment="1">
      <alignment horizontal="center" vertical="center" wrapText="1"/>
    </xf>
    <xf numFmtId="9" fontId="8" fillId="3" borderId="8"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165" fontId="2" fillId="0" borderId="24" xfId="0" applyNumberFormat="1" applyFont="1" applyBorder="1" applyAlignment="1">
      <alignment horizontal="center" vertical="center"/>
    </xf>
    <xf numFmtId="165" fontId="106" fillId="11" borderId="14" xfId="0" applyNumberFormat="1" applyFont="1" applyFill="1" applyBorder="1" applyAlignment="1">
      <alignment horizontal="center" vertical="center" wrapText="1"/>
    </xf>
    <xf numFmtId="3" fontId="107" fillId="11" borderId="26" xfId="0" applyNumberFormat="1" applyFont="1" applyFill="1" applyBorder="1" applyAlignment="1">
      <alignment horizontal="right" vertical="center" wrapText="1"/>
    </xf>
    <xf numFmtId="3" fontId="107" fillId="11" borderId="16" xfId="0" applyNumberFormat="1" applyFont="1" applyFill="1" applyBorder="1" applyAlignment="1">
      <alignment horizontal="right" vertical="center" wrapText="1"/>
    </xf>
    <xf numFmtId="0" fontId="52" fillId="11" borderId="17" xfId="0" applyFont="1" applyFill="1" applyBorder="1" applyAlignment="1">
      <alignment horizontal="center" vertical="center" wrapText="1"/>
    </xf>
    <xf numFmtId="0" fontId="52" fillId="11" borderId="37" xfId="0" applyFont="1" applyFill="1" applyBorder="1" applyAlignment="1">
      <alignment horizontal="center" vertical="center" wrapText="1"/>
    </xf>
    <xf numFmtId="0" fontId="109" fillId="11" borderId="84"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10" fillId="3" borderId="71" xfId="0" applyFont="1" applyFill="1" applyBorder="1" applyAlignment="1">
      <alignment horizontal="center" vertical="center" wrapText="1"/>
    </xf>
    <xf numFmtId="165" fontId="2" fillId="0" borderId="57" xfId="0" applyNumberFormat="1" applyFont="1" applyBorder="1" applyAlignment="1">
      <alignment horizontal="center" vertical="center"/>
    </xf>
    <xf numFmtId="165" fontId="106" fillId="11" borderId="15"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10" fillId="11" borderId="0" xfId="0" applyFont="1" applyFill="1" applyAlignment="1">
      <alignment horizontal="left" vertical="center" wrapText="1"/>
    </xf>
    <xf numFmtId="0" fontId="112" fillId="14" borderId="1" xfId="0" applyFont="1" applyFill="1" applyBorder="1" applyAlignment="1">
      <alignment vertical="center" wrapText="1"/>
    </xf>
    <xf numFmtId="0" fontId="8" fillId="11" borderId="80" xfId="0" applyFont="1" applyFill="1" applyBorder="1" applyAlignment="1">
      <alignment horizontal="center" vertical="center" wrapText="1"/>
    </xf>
    <xf numFmtId="165" fontId="106" fillId="11" borderId="85" xfId="0" applyNumberFormat="1" applyFont="1" applyFill="1" applyBorder="1" applyAlignment="1">
      <alignment horizontal="center" vertical="center" wrapText="1"/>
    </xf>
    <xf numFmtId="0" fontId="8" fillId="0" borderId="71" xfId="0" applyFont="1" applyBorder="1" applyAlignment="1">
      <alignment horizontal="center" vertical="center" wrapText="1"/>
    </xf>
    <xf numFmtId="9" fontId="8" fillId="3" borderId="80" xfId="0" applyNumberFormat="1" applyFont="1" applyFill="1" applyBorder="1" applyAlignment="1">
      <alignment horizontal="center" vertical="center" wrapText="1"/>
    </xf>
    <xf numFmtId="0" fontId="10" fillId="3" borderId="72" xfId="0" applyFont="1" applyFill="1" applyBorder="1" applyAlignment="1">
      <alignment horizontal="center" vertical="center" wrapText="1"/>
    </xf>
    <xf numFmtId="9" fontId="8" fillId="3" borderId="61" xfId="0" applyNumberFormat="1" applyFont="1" applyFill="1" applyBorder="1" applyAlignment="1">
      <alignment horizontal="center" vertical="center" wrapText="1"/>
    </xf>
    <xf numFmtId="164" fontId="113" fillId="0" borderId="58" xfId="0" applyNumberFormat="1" applyFont="1" applyBorder="1" applyAlignment="1">
      <alignment horizontal="left" vertical="center" wrapText="1"/>
    </xf>
    <xf numFmtId="165" fontId="106" fillId="11" borderId="59" xfId="0" applyNumberFormat="1" applyFont="1" applyFill="1" applyBorder="1" applyAlignment="1">
      <alignment horizontal="center" vertical="center" wrapText="1"/>
    </xf>
    <xf numFmtId="9" fontId="10" fillId="3" borderId="8" xfId="0" applyNumberFormat="1" applyFont="1" applyFill="1" applyBorder="1" applyAlignment="1">
      <alignment horizontal="center" vertical="center" wrapText="1"/>
    </xf>
    <xf numFmtId="3" fontId="106" fillId="11" borderId="16" xfId="0" applyNumberFormat="1" applyFont="1" applyFill="1" applyBorder="1" applyAlignment="1">
      <alignment horizontal="right" vertical="center" wrapText="1"/>
    </xf>
    <xf numFmtId="0" fontId="52" fillId="11" borderId="0" xfId="0" applyFont="1" applyFill="1" applyAlignment="1">
      <alignment horizontal="center" vertical="center" wrapText="1"/>
    </xf>
    <xf numFmtId="3" fontId="106" fillId="11" borderId="26" xfId="0" applyNumberFormat="1" applyFont="1" applyFill="1" applyBorder="1" applyAlignment="1">
      <alignment horizontal="right" vertical="center" wrapText="1"/>
    </xf>
    <xf numFmtId="0" fontId="52" fillId="0" borderId="37" xfId="0" applyFont="1" applyBorder="1" applyAlignment="1">
      <alignment horizontal="center" vertical="center" wrapText="1"/>
    </xf>
    <xf numFmtId="0" fontId="10" fillId="0" borderId="26" xfId="0" applyFont="1" applyBorder="1" applyAlignment="1">
      <alignment horizontal="left" vertical="center" wrapText="1"/>
    </xf>
    <xf numFmtId="0" fontId="3" fillId="0" borderId="37" xfId="0" applyFont="1" applyBorder="1" applyAlignment="1">
      <alignment horizontal="center" vertical="center" wrapText="1"/>
    </xf>
    <xf numFmtId="9" fontId="10" fillId="3" borderId="17" xfId="0" applyNumberFormat="1" applyFont="1" applyFill="1" applyBorder="1" applyAlignment="1">
      <alignment horizontal="center" vertical="center" wrapText="1"/>
    </xf>
    <xf numFmtId="9" fontId="10" fillId="3" borderId="7" xfId="0" applyNumberFormat="1" applyFont="1" applyFill="1" applyBorder="1" applyAlignment="1">
      <alignment horizontal="center" vertical="center" wrapText="1"/>
    </xf>
    <xf numFmtId="0" fontId="6" fillId="0" borderId="4" xfId="0" applyFont="1" applyBorder="1" applyAlignment="1">
      <alignment vertical="center"/>
    </xf>
    <xf numFmtId="168" fontId="11" fillId="10" borderId="67" xfId="0" applyNumberFormat="1" applyFont="1" applyFill="1" applyBorder="1" applyAlignment="1">
      <alignment horizontal="center" vertical="center"/>
    </xf>
    <xf numFmtId="166" fontId="14" fillId="10" borderId="25" xfId="0" applyNumberFormat="1" applyFont="1" applyFill="1" applyBorder="1" applyAlignment="1">
      <alignment horizontal="center" vertical="center"/>
    </xf>
    <xf numFmtId="166" fontId="14" fillId="10" borderId="14" xfId="0" applyNumberFormat="1" applyFont="1" applyFill="1" applyBorder="1" applyAlignment="1">
      <alignment horizontal="center" vertical="center"/>
    </xf>
    <xf numFmtId="0" fontId="6" fillId="0" borderId="4" xfId="0" applyFont="1" applyBorder="1" applyAlignment="1">
      <alignment horizontal="center" vertical="center"/>
    </xf>
    <xf numFmtId="14" fontId="3" fillId="0" borderId="4" xfId="0" quotePrefix="1" applyNumberFormat="1" applyFont="1" applyBorder="1" applyAlignment="1">
      <alignment horizontal="center" vertical="center" wrapText="1"/>
    </xf>
    <xf numFmtId="166" fontId="11" fillId="10" borderId="67" xfId="0" applyNumberFormat="1" applyFont="1" applyFill="1" applyBorder="1" applyAlignment="1">
      <alignment horizontal="center" vertical="center"/>
    </xf>
    <xf numFmtId="166" fontId="11" fillId="10" borderId="11" xfId="0" applyNumberFormat="1" applyFont="1" applyFill="1" applyBorder="1" applyAlignment="1">
      <alignment horizontal="center" vertical="center" wrapText="1"/>
    </xf>
    <xf numFmtId="0" fontId="10" fillId="11" borderId="41"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57" xfId="0" applyFont="1" applyBorder="1" applyAlignment="1">
      <alignment horizontal="center" vertical="center" wrapText="1"/>
    </xf>
    <xf numFmtId="1" fontId="87" fillId="0" borderId="7" xfId="0" applyNumberFormat="1" applyFont="1" applyBorder="1" applyAlignment="1">
      <alignment horizontal="center" vertical="center" wrapText="1"/>
    </xf>
    <xf numFmtId="0" fontId="10" fillId="3" borderId="24" xfId="0" applyFont="1" applyFill="1" applyBorder="1" applyAlignment="1">
      <alignment horizontal="center" vertical="center" wrapText="1"/>
    </xf>
    <xf numFmtId="0" fontId="8" fillId="11" borderId="1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16" fillId="11" borderId="0" xfId="0" applyFont="1" applyFill="1" applyAlignment="1">
      <alignment horizontal="center" vertical="center" wrapText="1"/>
    </xf>
    <xf numFmtId="0" fontId="10" fillId="11" borderId="0" xfId="0" applyFont="1" applyFill="1" applyAlignment="1">
      <alignment horizontal="center" vertical="center" wrapText="1"/>
    </xf>
    <xf numFmtId="164" fontId="2" fillId="0" borderId="57" xfId="0" applyNumberFormat="1" applyFont="1" applyBorder="1" applyAlignment="1">
      <alignment horizontal="center" vertical="center"/>
    </xf>
    <xf numFmtId="164" fontId="8" fillId="0" borderId="41" xfId="0" applyNumberFormat="1" applyFont="1" applyBorder="1" applyAlignment="1">
      <alignment horizontal="center" vertical="center" wrapText="1"/>
    </xf>
    <xf numFmtId="0" fontId="10" fillId="3" borderId="2" xfId="0" applyFont="1" applyFill="1" applyBorder="1" applyAlignment="1">
      <alignment horizontal="center" vertical="center" wrapText="1"/>
    </xf>
    <xf numFmtId="165" fontId="106" fillId="11" borderId="58" xfId="0" applyNumberFormat="1" applyFont="1" applyFill="1" applyBorder="1" applyAlignment="1">
      <alignment horizontal="center" vertical="center" wrapText="1"/>
    </xf>
    <xf numFmtId="0" fontId="3" fillId="11" borderId="46" xfId="0" applyFont="1" applyFill="1" applyBorder="1" applyAlignment="1">
      <alignment horizontal="left" vertical="center" wrapText="1"/>
    </xf>
    <xf numFmtId="0" fontId="8" fillId="11" borderId="80" xfId="0" applyFont="1" applyFill="1" applyBorder="1" applyAlignment="1">
      <alignment horizontal="left" vertical="center" wrapText="1"/>
    </xf>
    <xf numFmtId="170" fontId="11" fillId="10" borderId="67" xfId="0" applyNumberFormat="1" applyFont="1" applyFill="1" applyBorder="1" applyAlignment="1">
      <alignment horizontal="right" vertical="center"/>
    </xf>
    <xf numFmtId="164" fontId="2" fillId="0" borderId="1" xfId="0" applyNumberFormat="1" applyFont="1" applyBorder="1" applyAlignment="1">
      <alignment horizontal="center" vertical="center"/>
    </xf>
    <xf numFmtId="164" fontId="2" fillId="0" borderId="80" xfId="0" applyNumberFormat="1" applyFont="1" applyBorder="1" applyAlignment="1">
      <alignment horizontal="center" vertical="center"/>
    </xf>
    <xf numFmtId="164" fontId="104" fillId="0" borderId="1" xfId="3" applyNumberFormat="1" applyFont="1" applyFill="1" applyBorder="1" applyAlignment="1">
      <alignment horizontal="center" vertical="center"/>
    </xf>
    <xf numFmtId="164" fontId="8" fillId="0" borderId="1" xfId="0" applyNumberFormat="1" applyFont="1" applyBorder="1" applyAlignment="1">
      <alignment horizontal="center" vertical="center"/>
    </xf>
    <xf numFmtId="0" fontId="8" fillId="11" borderId="32" xfId="0" applyFont="1" applyFill="1" applyBorder="1" applyAlignment="1">
      <alignment horizontal="left" vertical="center" wrapText="1"/>
    </xf>
    <xf numFmtId="0" fontId="8" fillId="11" borderId="20" xfId="0" applyFont="1" applyFill="1" applyBorder="1" applyAlignment="1">
      <alignment horizontal="left" vertical="center" wrapText="1"/>
    </xf>
    <xf numFmtId="0" fontId="8" fillId="11" borderId="54" xfId="0" applyFont="1" applyFill="1" applyBorder="1" applyAlignment="1">
      <alignment horizontal="center" vertical="center" wrapText="1"/>
    </xf>
    <xf numFmtId="0" fontId="2" fillId="11" borderId="61" xfId="0" applyFont="1" applyFill="1" applyBorder="1" applyAlignment="1">
      <alignment horizontal="center" vertical="center" wrapText="1"/>
    </xf>
    <xf numFmtId="0" fontId="125" fillId="11" borderId="2" xfId="0" applyFont="1" applyFill="1" applyBorder="1" applyAlignment="1">
      <alignment horizontal="center" vertical="center" wrapText="1"/>
    </xf>
    <xf numFmtId="0" fontId="10" fillId="3" borderId="16" xfId="0" applyFont="1" applyFill="1" applyBorder="1" applyAlignment="1">
      <alignment horizontal="center" vertical="center" wrapText="1"/>
    </xf>
    <xf numFmtId="1" fontId="0" fillId="3" borderId="10" xfId="0" applyNumberFormat="1" applyFill="1" applyBorder="1" applyAlignment="1">
      <alignment horizontal="center" vertical="center" wrapText="1"/>
    </xf>
    <xf numFmtId="165" fontId="106" fillId="11" borderId="41" xfId="0" applyNumberFormat="1" applyFont="1" applyFill="1" applyBorder="1" applyAlignment="1">
      <alignment horizontal="center" vertical="center" wrapText="1"/>
    </xf>
    <xf numFmtId="0" fontId="8" fillId="11" borderId="61" xfId="0" applyFont="1" applyFill="1" applyBorder="1" applyAlignment="1">
      <alignment horizontal="center" vertical="center" wrapText="1"/>
    </xf>
    <xf numFmtId="164" fontId="107" fillId="11" borderId="1" xfId="0" applyNumberFormat="1" applyFont="1" applyFill="1" applyBorder="1" applyAlignment="1">
      <alignment horizontal="center" vertical="center"/>
    </xf>
    <xf numFmtId="0" fontId="14" fillId="11" borderId="2"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1" xfId="0" applyFont="1" applyFill="1" applyBorder="1" applyAlignment="1">
      <alignment horizontal="left" vertical="center" wrapText="1"/>
    </xf>
    <xf numFmtId="0" fontId="14" fillId="11" borderId="61" xfId="0" applyFont="1" applyFill="1" applyBorder="1" applyAlignment="1">
      <alignment horizontal="left" vertical="center" wrapText="1"/>
    </xf>
    <xf numFmtId="0" fontId="14" fillId="11" borderId="8" xfId="0" applyFont="1" applyFill="1" applyBorder="1" applyAlignment="1">
      <alignment horizontal="left" vertical="center" wrapText="1"/>
    </xf>
    <xf numFmtId="0" fontId="10" fillId="11" borderId="2" xfId="0" applyFont="1" applyFill="1" applyBorder="1" applyAlignment="1">
      <alignment horizontal="left" vertical="center" wrapText="1"/>
    </xf>
    <xf numFmtId="0" fontId="10" fillId="11" borderId="61" xfId="0" applyFont="1" applyFill="1" applyBorder="1" applyAlignment="1">
      <alignment horizontal="left" vertical="center" wrapText="1"/>
    </xf>
    <xf numFmtId="164" fontId="107" fillId="11" borderId="80" xfId="0" applyNumberFormat="1" applyFont="1" applyFill="1" applyBorder="1" applyAlignment="1">
      <alignment horizontal="center" vertical="center"/>
    </xf>
    <xf numFmtId="0" fontId="14" fillId="11" borderId="2"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26" xfId="0" applyFont="1" applyFill="1" applyBorder="1" applyAlignment="1">
      <alignment horizontal="center" vertical="center" wrapText="1"/>
    </xf>
    <xf numFmtId="165" fontId="1" fillId="0" borderId="15" xfId="0" applyNumberFormat="1" applyFont="1" applyBorder="1" applyAlignment="1">
      <alignment horizontal="center" vertical="center" wrapText="1"/>
    </xf>
    <xf numFmtId="0" fontId="14" fillId="11" borderId="19" xfId="0" applyFont="1" applyFill="1" applyBorder="1" applyAlignment="1">
      <alignment horizontal="right" vertical="center" wrapText="1"/>
    </xf>
    <xf numFmtId="0" fontId="14" fillId="11" borderId="27" xfId="0" applyFont="1" applyFill="1" applyBorder="1" applyAlignment="1">
      <alignment horizontal="right" vertical="center" wrapText="1"/>
    </xf>
    <xf numFmtId="0" fontId="14" fillId="11" borderId="17" xfId="0" applyFont="1" applyFill="1" applyBorder="1" applyAlignment="1">
      <alignment horizontal="right" vertical="center" wrapText="1"/>
    </xf>
    <xf numFmtId="165" fontId="106" fillId="11" borderId="86" xfId="0" applyNumberFormat="1" applyFont="1" applyFill="1" applyBorder="1" applyAlignment="1">
      <alignment horizontal="center" vertical="center" wrapText="1"/>
    </xf>
    <xf numFmtId="165" fontId="106" fillId="11" borderId="88" xfId="0" applyNumberFormat="1" applyFont="1" applyFill="1" applyBorder="1" applyAlignment="1">
      <alignment horizontal="center" vertical="center" wrapText="1"/>
    </xf>
    <xf numFmtId="0" fontId="3" fillId="0" borderId="17" xfId="0" applyFont="1" applyBorder="1" applyAlignment="1">
      <alignment horizontal="center" vertical="center" wrapText="1"/>
    </xf>
    <xf numFmtId="0" fontId="8" fillId="0" borderId="24" xfId="0" applyFont="1" applyBorder="1" applyAlignment="1">
      <alignment horizontal="center" vertical="center" wrapText="1"/>
    </xf>
    <xf numFmtId="0" fontId="8" fillId="11" borderId="10" xfId="0" applyFont="1" applyFill="1" applyBorder="1" applyAlignment="1">
      <alignment horizontal="center" vertical="center" wrapText="1"/>
    </xf>
    <xf numFmtId="0" fontId="125" fillId="11" borderId="2" xfId="0" applyFont="1" applyFill="1" applyBorder="1" applyAlignment="1">
      <alignment horizontal="left" vertical="center" wrapText="1"/>
    </xf>
    <xf numFmtId="0" fontId="125" fillId="11" borderId="10" xfId="0" applyFont="1" applyFill="1" applyBorder="1" applyAlignment="1">
      <alignment horizontal="left" vertical="center" wrapText="1"/>
    </xf>
    <xf numFmtId="0" fontId="125" fillId="11" borderId="10" xfId="0" applyFont="1" applyFill="1" applyBorder="1" applyAlignment="1">
      <alignment horizontal="center" vertical="center" wrapText="1"/>
    </xf>
    <xf numFmtId="1" fontId="0" fillId="3" borderId="17" xfId="0" applyNumberFormat="1" applyFill="1" applyBorder="1" applyAlignment="1">
      <alignment horizontal="center" vertical="center" wrapText="1"/>
    </xf>
    <xf numFmtId="0" fontId="6" fillId="11" borderId="2"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54" xfId="0" applyFont="1" applyFill="1" applyBorder="1" applyAlignment="1">
      <alignment horizontal="center" vertical="center" wrapText="1"/>
    </xf>
    <xf numFmtId="0" fontId="28" fillId="0" borderId="0" xfId="0" applyFont="1" applyAlignment="1">
      <alignment horizontal="center" vertical="center"/>
    </xf>
    <xf numFmtId="165" fontId="1" fillId="4" borderId="15" xfId="0" applyNumberFormat="1" applyFont="1" applyFill="1" applyBorder="1" applyAlignment="1">
      <alignment horizontal="center" vertical="center" wrapText="1"/>
    </xf>
    <xf numFmtId="0" fontId="1" fillId="11" borderId="43" xfId="0" applyFont="1" applyFill="1" applyBorder="1" applyAlignment="1">
      <alignment vertical="center" wrapText="1"/>
    </xf>
    <xf numFmtId="0" fontId="1" fillId="11" borderId="35" xfId="0" applyFont="1" applyFill="1" applyBorder="1" applyAlignment="1">
      <alignment vertical="center" wrapText="1"/>
    </xf>
    <xf numFmtId="0" fontId="1" fillId="11" borderId="36" xfId="0" applyFont="1" applyFill="1" applyBorder="1" applyAlignment="1">
      <alignment vertical="center" wrapText="1"/>
    </xf>
    <xf numFmtId="164" fontId="2" fillId="0" borderId="11" xfId="0" applyNumberFormat="1" applyFont="1" applyBorder="1" applyAlignment="1">
      <alignment horizontal="center" vertical="center"/>
    </xf>
    <xf numFmtId="0" fontId="10" fillId="11" borderId="54" xfId="0" applyFont="1" applyFill="1" applyBorder="1" applyAlignment="1">
      <alignment horizontal="left" vertical="center" wrapText="1"/>
    </xf>
    <xf numFmtId="9" fontId="10" fillId="3" borderId="24" xfId="0" applyNumberFormat="1" applyFont="1" applyFill="1" applyBorder="1" applyAlignment="1">
      <alignment horizontal="center" vertical="center" wrapText="1"/>
    </xf>
    <xf numFmtId="9" fontId="8" fillId="3" borderId="52" xfId="0" applyNumberFormat="1" applyFont="1" applyFill="1" applyBorder="1" applyAlignment="1">
      <alignment horizontal="center" vertical="center" wrapText="1"/>
    </xf>
    <xf numFmtId="0" fontId="8" fillId="3" borderId="69" xfId="0" applyFont="1" applyFill="1" applyBorder="1" applyAlignment="1">
      <alignment horizontal="center" vertical="center" wrapText="1"/>
    </xf>
    <xf numFmtId="0" fontId="10" fillId="11" borderId="37" xfId="0" applyFont="1" applyFill="1" applyBorder="1" applyAlignment="1">
      <alignment horizontal="left" vertical="center" wrapText="1"/>
    </xf>
    <xf numFmtId="9" fontId="10" fillId="3" borderId="71" xfId="0" applyNumberFormat="1" applyFont="1" applyFill="1" applyBorder="1" applyAlignment="1">
      <alignment horizontal="center" vertical="center" wrapText="1"/>
    </xf>
    <xf numFmtId="9" fontId="8" fillId="3" borderId="10" xfId="0" applyNumberFormat="1" applyFont="1" applyFill="1" applyBorder="1" applyAlignment="1">
      <alignment horizontal="center" vertical="center" wrapText="1"/>
    </xf>
    <xf numFmtId="0" fontId="8" fillId="11" borderId="56" xfId="0" applyFont="1" applyFill="1" applyBorder="1" applyAlignment="1">
      <alignment horizontal="center" vertical="center" wrapText="1"/>
    </xf>
    <xf numFmtId="0" fontId="8" fillId="11" borderId="94" xfId="0" applyFont="1" applyFill="1" applyBorder="1" applyAlignment="1">
      <alignment horizontal="center" vertical="center" wrapText="1"/>
    </xf>
    <xf numFmtId="168" fontId="1" fillId="10" borderId="67" xfId="0" applyNumberFormat="1" applyFont="1" applyFill="1" applyBorder="1" applyAlignment="1">
      <alignment horizontal="center" vertical="center"/>
    </xf>
    <xf numFmtId="168" fontId="1" fillId="10" borderId="26" xfId="0" applyNumberFormat="1" applyFont="1" applyFill="1" applyBorder="1" applyAlignment="1">
      <alignment horizontal="center" vertical="center"/>
    </xf>
    <xf numFmtId="168" fontId="11" fillId="10" borderId="11" xfId="0" applyNumberFormat="1"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8" xfId="0" applyFont="1" applyBorder="1" applyAlignment="1">
      <alignment horizontal="center" vertical="center" wrapText="1"/>
    </xf>
    <xf numFmtId="165" fontId="2" fillId="0" borderId="1" xfId="0" applyNumberFormat="1" applyFont="1" applyBorder="1" applyAlignment="1">
      <alignment horizontal="center" vertical="center" wrapText="1"/>
    </xf>
    <xf numFmtId="167" fontId="2" fillId="0" borderId="24" xfId="0" applyNumberFormat="1" applyFont="1" applyBorder="1" applyAlignment="1">
      <alignment horizontal="center" vertical="center"/>
    </xf>
    <xf numFmtId="169" fontId="2" fillId="0" borderId="24" xfId="0" applyNumberFormat="1" applyFont="1" applyBorder="1" applyAlignment="1">
      <alignment horizontal="center" vertical="center"/>
    </xf>
    <xf numFmtId="9" fontId="10" fillId="3" borderId="36" xfId="0" applyNumberFormat="1" applyFont="1" applyFill="1" applyBorder="1" applyAlignment="1">
      <alignment horizontal="center" vertical="center" wrapText="1"/>
    </xf>
    <xf numFmtId="1" fontId="0" fillId="3" borderId="50" xfId="0" applyNumberFormat="1" applyFill="1" applyBorder="1" applyAlignment="1">
      <alignment horizontal="center" vertical="center" wrapText="1"/>
    </xf>
    <xf numFmtId="0" fontId="3" fillId="11" borderId="8" xfId="0" applyFont="1" applyFill="1" applyBorder="1" applyAlignment="1">
      <alignment horizontal="center" vertical="center" wrapText="1"/>
    </xf>
    <xf numFmtId="9" fontId="10" fillId="3" borderId="2" xfId="0" applyNumberFormat="1" applyFont="1" applyFill="1" applyBorder="1" applyAlignment="1">
      <alignment horizontal="center" vertical="center" wrapText="1"/>
    </xf>
    <xf numFmtId="0" fontId="3" fillId="11" borderId="2" xfId="0" applyFont="1" applyFill="1" applyBorder="1" applyAlignment="1">
      <alignment horizontal="center" vertical="center"/>
    </xf>
    <xf numFmtId="0" fontId="3" fillId="11" borderId="2" xfId="0" applyFont="1" applyFill="1" applyBorder="1" applyAlignment="1">
      <alignment horizontal="center" vertical="center" wrapText="1"/>
    </xf>
    <xf numFmtId="0" fontId="3" fillId="0" borderId="8" xfId="0" applyFont="1" applyBorder="1" applyAlignment="1">
      <alignment horizontal="center" vertical="center" wrapText="1"/>
    </xf>
    <xf numFmtId="0" fontId="116" fillId="11" borderId="16" xfId="0" applyFont="1" applyFill="1" applyBorder="1" applyAlignment="1">
      <alignment horizontal="center" vertical="center" wrapText="1"/>
    </xf>
    <xf numFmtId="165" fontId="8" fillId="4" borderId="15" xfId="0"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xf>
    <xf numFmtId="164" fontId="115" fillId="11" borderId="1" xfId="0" applyNumberFormat="1" applyFont="1" applyFill="1" applyBorder="1" applyAlignment="1">
      <alignment horizontal="center" vertical="center"/>
    </xf>
    <xf numFmtId="0" fontId="10" fillId="3" borderId="61" xfId="0" applyFont="1" applyFill="1" applyBorder="1" applyAlignment="1">
      <alignment horizontal="center" vertical="center" wrapText="1"/>
    </xf>
    <xf numFmtId="165" fontId="128" fillId="4" borderId="15" xfId="0" applyNumberFormat="1" applyFont="1" applyFill="1" applyBorder="1" applyAlignment="1">
      <alignment horizontal="center" vertical="center" wrapText="1"/>
    </xf>
    <xf numFmtId="165" fontId="129" fillId="11" borderId="14" xfId="0" applyNumberFormat="1" applyFont="1" applyFill="1" applyBorder="1" applyAlignment="1">
      <alignment horizontal="center" vertical="center" wrapText="1"/>
    </xf>
    <xf numFmtId="0" fontId="23" fillId="0" borderId="93" xfId="0" applyFont="1" applyBorder="1" applyAlignment="1">
      <alignment horizontal="center" vertical="center" wrapText="1"/>
    </xf>
    <xf numFmtId="0" fontId="116" fillId="0" borderId="91" xfId="0" applyFont="1" applyBorder="1" applyAlignment="1">
      <alignment horizontal="center" vertical="center" wrapText="1"/>
    </xf>
    <xf numFmtId="0" fontId="37" fillId="0" borderId="40" xfId="0" applyFont="1" applyBorder="1" applyAlignment="1">
      <alignment vertical="center" wrapText="1"/>
    </xf>
    <xf numFmtId="0" fontId="37" fillId="0" borderId="0" xfId="0" applyFont="1" applyAlignment="1">
      <alignment vertical="center" wrapText="1"/>
    </xf>
    <xf numFmtId="0" fontId="10" fillId="11" borderId="16" xfId="0" applyFont="1" applyFill="1" applyBorder="1" applyAlignment="1">
      <alignment horizontal="left" vertical="center" wrapText="1"/>
    </xf>
    <xf numFmtId="0" fontId="12" fillId="0" borderId="47" xfId="0" applyFont="1" applyBorder="1" applyAlignment="1">
      <alignment horizontal="center" vertical="center" wrapText="1"/>
    </xf>
    <xf numFmtId="0" fontId="37" fillId="0" borderId="19" xfId="0" applyFont="1" applyBorder="1" applyAlignment="1">
      <alignment vertical="center" wrapText="1"/>
    </xf>
    <xf numFmtId="0" fontId="37" fillId="0" borderId="27" xfId="0" applyFont="1" applyBorder="1" applyAlignment="1">
      <alignment vertical="center" wrapText="1"/>
    </xf>
    <xf numFmtId="0" fontId="94" fillId="0" borderId="19" xfId="0" applyFont="1" applyBorder="1" applyAlignment="1">
      <alignment vertical="center" wrapText="1"/>
    </xf>
    <xf numFmtId="0" fontId="94" fillId="0" borderId="27" xfId="0" applyFont="1" applyBorder="1" applyAlignment="1">
      <alignment vertical="center" wrapText="1"/>
    </xf>
    <xf numFmtId="0" fontId="8" fillId="11" borderId="36" xfId="0" applyFont="1" applyFill="1" applyBorder="1" applyAlignment="1">
      <alignment horizontal="center" vertical="center" wrapText="1"/>
    </xf>
    <xf numFmtId="0" fontId="8" fillId="11" borderId="46" xfId="0" applyFont="1" applyFill="1" applyBorder="1" applyAlignment="1">
      <alignment horizontal="center" vertical="center" wrapText="1"/>
    </xf>
    <xf numFmtId="0" fontId="3" fillId="11" borderId="18" xfId="0" applyFont="1" applyFill="1" applyBorder="1" applyAlignment="1">
      <alignment horizontal="left" vertical="center" wrapText="1"/>
    </xf>
    <xf numFmtId="0" fontId="3" fillId="11" borderId="36" xfId="0" applyFont="1" applyFill="1" applyBorder="1" applyAlignment="1">
      <alignment horizontal="left" vertical="center" wrapText="1"/>
    </xf>
    <xf numFmtId="0" fontId="3" fillId="11" borderId="37" xfId="0" applyFont="1" applyFill="1" applyBorder="1" applyAlignment="1">
      <alignment horizontal="left" vertical="center" wrapText="1"/>
    </xf>
    <xf numFmtId="0" fontId="8" fillId="11" borderId="95" xfId="0" applyFont="1" applyFill="1" applyBorder="1" applyAlignment="1">
      <alignment horizontal="center" vertical="center" wrapText="1"/>
    </xf>
    <xf numFmtId="0" fontId="8" fillId="11" borderId="45" xfId="0" applyFont="1" applyFill="1" applyBorder="1" applyAlignment="1">
      <alignment horizontal="center" vertical="center" wrapText="1"/>
    </xf>
    <xf numFmtId="166" fontId="12" fillId="10" borderId="67" xfId="0" applyNumberFormat="1" applyFont="1" applyFill="1" applyBorder="1" applyAlignment="1">
      <alignment horizontal="center" vertical="center"/>
    </xf>
    <xf numFmtId="166" fontId="12" fillId="10" borderId="11" xfId="0" applyNumberFormat="1" applyFont="1" applyFill="1" applyBorder="1" applyAlignment="1">
      <alignment horizontal="center" vertical="center" wrapText="1"/>
    </xf>
    <xf numFmtId="165" fontId="106" fillId="4" borderId="15" xfId="0" applyNumberFormat="1" applyFont="1" applyFill="1" applyBorder="1" applyAlignment="1">
      <alignment horizontal="center" vertical="center" wrapText="1"/>
    </xf>
    <xf numFmtId="167" fontId="130" fillId="0" borderId="24" xfId="0" applyNumberFormat="1" applyFont="1" applyBorder="1" applyAlignment="1">
      <alignment horizontal="center" vertical="center"/>
    </xf>
    <xf numFmtId="168" fontId="5" fillId="10" borderId="11" xfId="0" applyNumberFormat="1" applyFont="1" applyFill="1" applyBorder="1" applyAlignment="1">
      <alignment horizontal="right" vertical="center" wrapText="1"/>
    </xf>
    <xf numFmtId="164" fontId="2" fillId="0" borderId="8" xfId="0" applyNumberFormat="1" applyFont="1" applyBorder="1" applyAlignment="1">
      <alignment horizontal="center" vertical="center"/>
    </xf>
    <xf numFmtId="0" fontId="8" fillId="0" borderId="93" xfId="0" applyFont="1" applyBorder="1" applyAlignment="1">
      <alignment horizontal="center" vertical="center" wrapText="1"/>
    </xf>
    <xf numFmtId="0" fontId="14" fillId="0" borderId="92" xfId="0" applyFont="1" applyBorder="1" applyAlignment="1">
      <alignment horizontal="center" vertical="center" wrapText="1"/>
    </xf>
    <xf numFmtId="0" fontId="14" fillId="0" borderId="91" xfId="0" applyFont="1" applyBorder="1" applyAlignment="1">
      <alignment horizontal="center" vertical="center" wrapText="1"/>
    </xf>
    <xf numFmtId="0" fontId="8" fillId="11" borderId="17" xfId="0" applyFont="1" applyFill="1" applyBorder="1" applyAlignment="1">
      <alignment horizontal="center" vertical="center" wrapText="1"/>
    </xf>
    <xf numFmtId="0" fontId="52" fillId="11" borderId="17" xfId="0" applyFont="1" applyFill="1" applyBorder="1" applyAlignment="1">
      <alignment horizontal="left" vertical="center" wrapText="1"/>
    </xf>
    <xf numFmtId="0" fontId="125" fillId="0" borderId="8" xfId="0" applyFont="1" applyBorder="1" applyAlignment="1">
      <alignment horizontal="center" vertical="center" wrapText="1"/>
    </xf>
    <xf numFmtId="164" fontId="8" fillId="0" borderId="8" xfId="0" applyNumberFormat="1" applyFont="1" applyBorder="1" applyAlignment="1">
      <alignment horizontal="center" vertical="center" wrapText="1"/>
    </xf>
    <xf numFmtId="164" fontId="8" fillId="0" borderId="87" xfId="0" applyNumberFormat="1" applyFont="1" applyBorder="1" applyAlignment="1">
      <alignment horizontal="center" vertical="center" wrapText="1"/>
    </xf>
    <xf numFmtId="9" fontId="23" fillId="3" borderId="96" xfId="0" applyNumberFormat="1" applyFont="1" applyFill="1" applyBorder="1" applyAlignment="1">
      <alignment horizontal="center" vertical="center" wrapText="1"/>
    </xf>
    <xf numFmtId="0" fontId="23" fillId="3" borderId="99" xfId="0" applyFont="1" applyFill="1" applyBorder="1" applyAlignment="1">
      <alignment horizontal="center" vertical="center" wrapText="1"/>
    </xf>
    <xf numFmtId="164" fontId="2" fillId="0" borderId="2" xfId="0" applyNumberFormat="1" applyFont="1" applyBorder="1" applyAlignment="1">
      <alignment horizontal="center" vertical="center"/>
    </xf>
    <xf numFmtId="0" fontId="8" fillId="11" borderId="8" xfId="0" applyFont="1" applyFill="1" applyBorder="1" applyAlignment="1">
      <alignment horizontal="center" vertical="center" wrapText="1"/>
    </xf>
    <xf numFmtId="1" fontId="87" fillId="0" borderId="104" xfId="0" applyNumberFormat="1" applyFont="1" applyBorder="1" applyAlignment="1">
      <alignment horizontal="center" vertical="center" wrapText="1"/>
    </xf>
    <xf numFmtId="0" fontId="8" fillId="11" borderId="2" xfId="0" applyFont="1" applyFill="1" applyBorder="1" applyAlignment="1">
      <alignment horizontal="left" vertical="center" wrapText="1"/>
    </xf>
    <xf numFmtId="0" fontId="3" fillId="11" borderId="36" xfId="0" applyFont="1" applyFill="1" applyBorder="1" applyAlignment="1">
      <alignment horizontal="center" vertical="center" wrapText="1"/>
    </xf>
    <xf numFmtId="0" fontId="14" fillId="11" borderId="8" xfId="0" applyFont="1" applyFill="1" applyBorder="1" applyAlignment="1">
      <alignment horizontal="center" vertical="center" wrapText="1"/>
    </xf>
    <xf numFmtId="3" fontId="115" fillId="11" borderId="26" xfId="0" applyNumberFormat="1" applyFont="1" applyFill="1" applyBorder="1" applyAlignment="1">
      <alignment horizontal="right" vertical="center" wrapText="1"/>
    </xf>
    <xf numFmtId="164" fontId="8" fillId="0" borderId="61" xfId="0" applyNumberFormat="1" applyFont="1" applyBorder="1" applyAlignment="1">
      <alignment horizontal="center" vertical="center" wrapText="1"/>
    </xf>
    <xf numFmtId="164" fontId="8" fillId="0" borderId="105" xfId="0" applyNumberFormat="1" applyFont="1" applyBorder="1" applyAlignment="1">
      <alignment horizontal="center" vertical="center" wrapText="1"/>
    </xf>
    <xf numFmtId="0" fontId="10" fillId="3" borderId="10" xfId="0" applyFont="1" applyFill="1" applyBorder="1" applyAlignment="1">
      <alignment horizontal="center" vertical="center" wrapText="1"/>
    </xf>
    <xf numFmtId="1" fontId="0" fillId="3" borderId="69" xfId="0" applyNumberFormat="1" applyFill="1" applyBorder="1" applyAlignment="1">
      <alignment horizontal="center" vertical="center" wrapText="1"/>
    </xf>
    <xf numFmtId="9" fontId="8" fillId="3" borderId="2" xfId="0" applyNumberFormat="1" applyFont="1" applyFill="1" applyBorder="1" applyAlignment="1">
      <alignment horizontal="center" vertical="center" wrapText="1"/>
    </xf>
    <xf numFmtId="164" fontId="107" fillId="11" borderId="2" xfId="0" applyNumberFormat="1" applyFont="1" applyFill="1" applyBorder="1" applyAlignment="1">
      <alignment horizontal="center" vertical="center"/>
    </xf>
    <xf numFmtId="165" fontId="1" fillId="4" borderId="59" xfId="0" applyNumberFormat="1" applyFont="1" applyFill="1" applyBorder="1" applyAlignment="1">
      <alignment horizontal="center" vertical="center" wrapText="1"/>
    </xf>
    <xf numFmtId="1" fontId="0" fillId="3" borderId="37" xfId="0" applyNumberFormat="1" applyFill="1" applyBorder="1" applyAlignment="1">
      <alignment horizontal="center" vertical="center" wrapText="1"/>
    </xf>
    <xf numFmtId="0" fontId="133" fillId="0" borderId="19" xfId="0" applyFont="1" applyBorder="1" applyAlignment="1">
      <alignment vertical="center" wrapText="1"/>
    </xf>
    <xf numFmtId="0" fontId="133" fillId="0" borderId="27" xfId="0" applyFont="1" applyBorder="1" applyAlignment="1">
      <alignment vertical="center" wrapText="1"/>
    </xf>
    <xf numFmtId="0" fontId="93" fillId="0" borderId="19" xfId="0" applyFont="1" applyBorder="1" applyAlignment="1">
      <alignment vertical="center" wrapText="1"/>
    </xf>
    <xf numFmtId="0" fontId="93" fillId="0" borderId="27" xfId="0" applyFont="1" applyBorder="1" applyAlignment="1">
      <alignment vertical="center" wrapText="1"/>
    </xf>
    <xf numFmtId="0" fontId="93" fillId="0" borderId="40" xfId="0" applyFont="1" applyBorder="1" applyAlignment="1">
      <alignment horizontal="left" vertical="center" wrapText="1"/>
    </xf>
    <xf numFmtId="0" fontId="93" fillId="0" borderId="0" xfId="0" applyFont="1" applyAlignment="1">
      <alignment horizontal="left" vertical="center" wrapText="1"/>
    </xf>
    <xf numFmtId="0" fontId="8" fillId="0" borderId="26" xfId="0" applyFont="1" applyBorder="1" applyAlignment="1">
      <alignment horizontal="center" vertical="center" wrapText="1"/>
    </xf>
    <xf numFmtId="1" fontId="87" fillId="0" borderId="17" xfId="0" applyNumberFormat="1" applyFont="1" applyBorder="1" applyAlignment="1">
      <alignment horizontal="center" vertical="center" wrapText="1"/>
    </xf>
    <xf numFmtId="9" fontId="8" fillId="3" borderId="68" xfId="0" applyNumberFormat="1" applyFont="1" applyFill="1" applyBorder="1" applyAlignment="1">
      <alignment horizontal="center" vertical="center" wrapText="1"/>
    </xf>
    <xf numFmtId="0" fontId="8" fillId="11" borderId="71" xfId="0" applyFont="1" applyFill="1" applyBorder="1" applyAlignment="1">
      <alignment horizontal="center" vertical="center" wrapText="1"/>
    </xf>
    <xf numFmtId="0" fontId="8" fillId="11" borderId="37" xfId="0" applyFont="1" applyFill="1" applyBorder="1" applyAlignment="1">
      <alignment horizontal="center" vertical="center" wrapText="1"/>
    </xf>
    <xf numFmtId="0" fontId="52" fillId="11" borderId="27" xfId="0" applyFont="1" applyFill="1" applyBorder="1" applyAlignment="1">
      <alignment horizontal="center" vertical="center" wrapText="1"/>
    </xf>
    <xf numFmtId="0" fontId="8" fillId="11" borderId="26" xfId="0" applyFont="1" applyFill="1" applyBorder="1" applyAlignment="1">
      <alignment horizontal="center" vertical="center" wrapText="1"/>
    </xf>
    <xf numFmtId="9" fontId="8" fillId="3" borderId="50" xfId="0" applyNumberFormat="1" applyFont="1" applyFill="1" applyBorder="1" applyAlignment="1">
      <alignment horizontal="center" vertical="center" wrapText="1"/>
    </xf>
    <xf numFmtId="9" fontId="10" fillId="3" borderId="114" xfId="0" applyNumberFormat="1" applyFont="1" applyFill="1" applyBorder="1" applyAlignment="1">
      <alignment horizontal="center" vertical="center" wrapText="1"/>
    </xf>
    <xf numFmtId="0" fontId="8" fillId="3" borderId="115" xfId="0" applyFont="1" applyFill="1" applyBorder="1" applyAlignment="1">
      <alignment horizontal="center" vertical="center" wrapText="1"/>
    </xf>
    <xf numFmtId="0" fontId="3" fillId="3" borderId="116" xfId="0" applyFont="1" applyFill="1" applyBorder="1" applyAlignment="1">
      <alignment horizontal="center" vertical="center" wrapText="1"/>
    </xf>
    <xf numFmtId="0" fontId="8" fillId="3" borderId="114" xfId="0" applyFont="1" applyFill="1" applyBorder="1" applyAlignment="1">
      <alignment horizontal="center" vertical="center" wrapText="1"/>
    </xf>
    <xf numFmtId="1" fontId="0" fillId="3" borderId="115" xfId="0" applyNumberFormat="1" applyFill="1" applyBorder="1" applyAlignment="1">
      <alignment horizontal="center" vertical="center" wrapText="1"/>
    </xf>
    <xf numFmtId="165" fontId="2" fillId="0" borderId="114" xfId="0" applyNumberFormat="1" applyFont="1" applyBorder="1" applyAlignment="1">
      <alignment horizontal="center" vertical="center"/>
    </xf>
    <xf numFmtId="9" fontId="8" fillId="3" borderId="115" xfId="0" applyNumberFormat="1" applyFont="1" applyFill="1" applyBorder="1" applyAlignment="1">
      <alignment horizontal="center" vertical="center" wrapText="1"/>
    </xf>
    <xf numFmtId="0" fontId="23" fillId="3" borderId="124" xfId="0" applyFont="1" applyFill="1" applyBorder="1" applyAlignment="1">
      <alignment horizontal="center" vertical="center" wrapText="1"/>
    </xf>
    <xf numFmtId="9" fontId="23" fillId="3" borderId="124" xfId="0" applyNumberFormat="1" applyFont="1" applyFill="1" applyBorder="1" applyAlignment="1">
      <alignment horizontal="center" vertical="center" wrapText="1"/>
    </xf>
    <xf numFmtId="1" fontId="117" fillId="0" borderId="104" xfId="0" applyNumberFormat="1" applyFont="1" applyBorder="1" applyAlignment="1">
      <alignment horizontal="center" vertical="center" wrapText="1"/>
    </xf>
    <xf numFmtId="0" fontId="52" fillId="0" borderId="92" xfId="0" applyFont="1" applyBorder="1" applyAlignment="1">
      <alignment horizontal="center" vertical="center" wrapText="1"/>
    </xf>
    <xf numFmtId="0" fontId="14" fillId="0" borderId="59" xfId="0" applyFont="1" applyBorder="1" applyAlignment="1">
      <alignment horizontal="center" vertical="center" wrapText="1"/>
    </xf>
    <xf numFmtId="0" fontId="52" fillId="0" borderId="91" xfId="0" applyFont="1" applyBorder="1" applyAlignment="1">
      <alignment horizontal="center" vertical="center" wrapText="1"/>
    </xf>
    <xf numFmtId="164" fontId="2" fillId="0" borderId="56" xfId="0" applyNumberFormat="1" applyFont="1" applyBorder="1" applyAlignment="1">
      <alignment horizontal="center" vertical="center"/>
    </xf>
    <xf numFmtId="0" fontId="23" fillId="3" borderId="116" xfId="0" applyFont="1" applyFill="1" applyBorder="1" applyAlignment="1">
      <alignment horizontal="center" vertical="center" wrapText="1"/>
    </xf>
    <xf numFmtId="165" fontId="14" fillId="0" borderId="116" xfId="0" applyNumberFormat="1" applyFont="1" applyBorder="1" applyAlignment="1">
      <alignment horizontal="center" vertical="center" wrapText="1"/>
    </xf>
    <xf numFmtId="165" fontId="2" fillId="0" borderId="71" xfId="0" applyNumberFormat="1" applyFont="1" applyBorder="1" applyAlignment="1">
      <alignment horizontal="center" vertical="center"/>
    </xf>
    <xf numFmtId="167" fontId="2" fillId="0" borderId="71" xfId="0" applyNumberFormat="1" applyFont="1" applyBorder="1" applyAlignment="1">
      <alignment horizontal="center" vertical="center"/>
    </xf>
    <xf numFmtId="9" fontId="14" fillId="0" borderId="111" xfId="0" applyNumberFormat="1" applyFont="1" applyBorder="1" applyAlignment="1">
      <alignment horizontal="right" vertical="center" wrapText="1"/>
    </xf>
    <xf numFmtId="9" fontId="8" fillId="0" borderId="126" xfId="0" applyNumberFormat="1" applyFont="1" applyBorder="1" applyAlignment="1">
      <alignment horizontal="right" vertical="center" wrapText="1"/>
    </xf>
    <xf numFmtId="0" fontId="8" fillId="11" borderId="8" xfId="0" applyFont="1" applyFill="1" applyBorder="1" applyAlignment="1">
      <alignment horizontal="right" vertical="center" wrapText="1"/>
    </xf>
    <xf numFmtId="3" fontId="108" fillId="11" borderId="27" xfId="0" applyNumberFormat="1" applyFont="1" applyFill="1" applyBorder="1" applyAlignment="1">
      <alignment horizontal="right" vertical="center" wrapText="1"/>
    </xf>
    <xf numFmtId="9" fontId="14" fillId="0" borderId="132" xfId="0" applyNumberFormat="1" applyFont="1" applyBorder="1" applyAlignment="1">
      <alignment horizontal="right" vertical="center" wrapText="1"/>
    </xf>
    <xf numFmtId="0" fontId="8" fillId="11" borderId="133" xfId="0" applyFont="1" applyFill="1" applyBorder="1" applyAlignment="1">
      <alignment horizontal="right" vertical="center" wrapText="1"/>
    </xf>
    <xf numFmtId="172" fontId="108" fillId="11" borderId="27" xfId="0" applyNumberFormat="1" applyFont="1" applyFill="1" applyBorder="1" applyAlignment="1">
      <alignment horizontal="right" vertical="center" wrapText="1"/>
    </xf>
    <xf numFmtId="3" fontId="111" fillId="11" borderId="0" xfId="0" applyNumberFormat="1" applyFont="1" applyFill="1" applyAlignment="1">
      <alignment horizontal="right" vertical="center" wrapText="1"/>
    </xf>
    <xf numFmtId="3" fontId="106" fillId="11" borderId="0" xfId="0" applyNumberFormat="1" applyFont="1" applyFill="1" applyAlignment="1">
      <alignment horizontal="right" vertical="center" wrapText="1"/>
    </xf>
    <xf numFmtId="9" fontId="14" fillId="0" borderId="134" xfId="0" applyNumberFormat="1" applyFont="1" applyBorder="1" applyAlignment="1">
      <alignment horizontal="right" vertical="center" wrapText="1"/>
    </xf>
    <xf numFmtId="3" fontId="130" fillId="11" borderId="27" xfId="0" applyNumberFormat="1" applyFont="1" applyFill="1" applyBorder="1" applyAlignment="1">
      <alignment horizontal="right" vertical="center" wrapText="1"/>
    </xf>
    <xf numFmtId="3" fontId="106" fillId="11" borderId="27" xfId="0" applyNumberFormat="1" applyFont="1" applyFill="1" applyBorder="1" applyAlignment="1">
      <alignment horizontal="right" vertical="center" wrapText="1"/>
    </xf>
    <xf numFmtId="3" fontId="107" fillId="11" borderId="27" xfId="0" applyNumberFormat="1" applyFont="1" applyFill="1" applyBorder="1" applyAlignment="1">
      <alignment horizontal="right" vertical="center" wrapText="1"/>
    </xf>
    <xf numFmtId="3" fontId="107" fillId="11" borderId="0" xfId="0" applyNumberFormat="1" applyFont="1" applyFill="1" applyAlignment="1">
      <alignment horizontal="right" vertical="center" wrapText="1"/>
    </xf>
    <xf numFmtId="0" fontId="14" fillId="11" borderId="133" xfId="0" applyFont="1" applyFill="1" applyBorder="1" applyAlignment="1">
      <alignment horizontal="right" vertical="center" wrapText="1"/>
    </xf>
    <xf numFmtId="0" fontId="131" fillId="0" borderId="0" xfId="0" applyFont="1"/>
    <xf numFmtId="9" fontId="8" fillId="0" borderId="135" xfId="0" applyNumberFormat="1" applyFont="1" applyBorder="1" applyAlignment="1">
      <alignment horizontal="right" vertical="center" wrapText="1"/>
    </xf>
    <xf numFmtId="0" fontId="8" fillId="11" borderId="136" xfId="0" applyFont="1" applyFill="1" applyBorder="1" applyAlignment="1">
      <alignment horizontal="right" vertical="center" wrapText="1"/>
    </xf>
    <xf numFmtId="0" fontId="23" fillId="3" borderId="140" xfId="0" applyFont="1" applyFill="1" applyBorder="1" applyAlignment="1">
      <alignment horizontal="center" vertical="center" wrapText="1"/>
    </xf>
    <xf numFmtId="9" fontId="8" fillId="0" borderId="143" xfId="0" applyNumberFormat="1" applyFont="1" applyBorder="1" applyAlignment="1">
      <alignment horizontal="right" vertical="center" wrapText="1"/>
    </xf>
    <xf numFmtId="9" fontId="8" fillId="0" borderId="144" xfId="0" applyNumberFormat="1" applyFont="1" applyBorder="1" applyAlignment="1">
      <alignment horizontal="right" vertical="center" wrapText="1"/>
    </xf>
    <xf numFmtId="165" fontId="2" fillId="0" borderId="140" xfId="0" applyNumberFormat="1" applyFont="1" applyBorder="1" applyAlignment="1">
      <alignment horizontal="center" vertical="center" wrapText="1"/>
    </xf>
    <xf numFmtId="9" fontId="8" fillId="0" borderId="145" xfId="0" applyNumberFormat="1" applyFont="1" applyBorder="1" applyAlignment="1">
      <alignment horizontal="right" vertical="center" wrapText="1"/>
    </xf>
    <xf numFmtId="9" fontId="10" fillId="3" borderId="147" xfId="0" applyNumberFormat="1" applyFont="1" applyFill="1" applyBorder="1" applyAlignment="1">
      <alignment horizontal="center" vertical="center" wrapText="1"/>
    </xf>
    <xf numFmtId="0" fontId="8" fillId="3" borderId="148" xfId="0" applyFont="1" applyFill="1" applyBorder="1" applyAlignment="1">
      <alignment horizontal="center" vertical="center" wrapText="1"/>
    </xf>
    <xf numFmtId="0" fontId="8" fillId="3" borderId="140" xfId="0" applyFont="1" applyFill="1" applyBorder="1" applyAlignment="1">
      <alignment horizontal="center" vertical="center" wrapText="1"/>
    </xf>
    <xf numFmtId="9" fontId="8" fillId="3" borderId="148" xfId="0" applyNumberFormat="1" applyFont="1" applyFill="1" applyBorder="1" applyAlignment="1">
      <alignment horizontal="center" vertical="center" wrapText="1"/>
    </xf>
    <xf numFmtId="165" fontId="8" fillId="0" borderId="147" xfId="0" applyNumberFormat="1" applyFont="1" applyBorder="1" applyAlignment="1">
      <alignment horizontal="center" vertical="center"/>
    </xf>
    <xf numFmtId="9" fontId="14" fillId="0" borderId="96" xfId="0" applyNumberFormat="1" applyFont="1" applyBorder="1" applyAlignment="1">
      <alignment horizontal="right" vertical="center" wrapText="1"/>
    </xf>
    <xf numFmtId="9" fontId="8" fillId="0" borderId="120" xfId="0" applyNumberFormat="1" applyFont="1" applyBorder="1" applyAlignment="1">
      <alignment horizontal="right" vertical="center" wrapText="1"/>
    </xf>
    <xf numFmtId="9" fontId="14" fillId="0" borderId="102" xfId="0" applyNumberFormat="1" applyFont="1" applyBorder="1" applyAlignment="1">
      <alignment horizontal="right" vertical="center" wrapText="1"/>
    </xf>
    <xf numFmtId="9" fontId="8" fillId="0" borderId="102" xfId="0" applyNumberFormat="1" applyFont="1" applyBorder="1" applyAlignment="1">
      <alignment horizontal="right" vertical="center" wrapText="1"/>
    </xf>
    <xf numFmtId="0" fontId="3" fillId="3" borderId="8" xfId="0" applyFont="1" applyFill="1" applyBorder="1" applyAlignment="1">
      <alignment horizontal="center" vertical="center" wrapText="1"/>
    </xf>
    <xf numFmtId="9" fontId="8" fillId="3" borderId="70" xfId="0" applyNumberFormat="1" applyFont="1" applyFill="1" applyBorder="1" applyAlignment="1">
      <alignment horizontal="center" vertical="center" wrapText="1"/>
    </xf>
    <xf numFmtId="0" fontId="8" fillId="3" borderId="116" xfId="0" applyFont="1" applyFill="1" applyBorder="1" applyAlignment="1">
      <alignment horizontal="center" vertical="center" wrapText="1"/>
    </xf>
    <xf numFmtId="9" fontId="8" fillId="3" borderId="69" xfId="0" applyNumberFormat="1" applyFont="1" applyFill="1" applyBorder="1" applyAlignment="1">
      <alignment horizontal="center" vertical="center" wrapText="1"/>
    </xf>
    <xf numFmtId="0" fontId="0" fillId="11" borderId="0" xfId="0" applyFill="1" applyAlignment="1">
      <alignment vertical="center"/>
    </xf>
    <xf numFmtId="1" fontId="0" fillId="3" borderId="152" xfId="0" applyNumberFormat="1" applyFill="1" applyBorder="1" applyAlignment="1">
      <alignment horizontal="center" vertical="center" wrapText="1"/>
    </xf>
    <xf numFmtId="1" fontId="0" fillId="3" borderId="153" xfId="0" applyNumberFormat="1" applyFill="1" applyBorder="1" applyAlignment="1">
      <alignment horizontal="center" vertical="center" wrapText="1"/>
    </xf>
    <xf numFmtId="1" fontId="0" fillId="3" borderId="154" xfId="0" applyNumberFormat="1" applyFill="1" applyBorder="1" applyAlignment="1">
      <alignment horizontal="center" vertical="center" wrapText="1"/>
    </xf>
    <xf numFmtId="164" fontId="2" fillId="0" borderId="149" xfId="0" applyNumberFormat="1" applyFont="1" applyBorder="1" applyAlignment="1">
      <alignment horizontal="center" vertical="center"/>
    </xf>
    <xf numFmtId="1" fontId="0" fillId="3" borderId="155" xfId="0" applyNumberFormat="1" applyFill="1" applyBorder="1" applyAlignment="1">
      <alignment horizontal="center" vertical="center" wrapText="1"/>
    </xf>
    <xf numFmtId="164" fontId="2" fillId="0" borderId="114" xfId="0" applyNumberFormat="1" applyFont="1" applyBorder="1" applyAlignment="1">
      <alignment horizontal="center" vertical="center"/>
    </xf>
    <xf numFmtId="164" fontId="106" fillId="11" borderId="157" xfId="0" applyNumberFormat="1" applyFont="1" applyFill="1" applyBorder="1" applyAlignment="1">
      <alignment horizontal="center" vertical="center" wrapText="1"/>
    </xf>
    <xf numFmtId="164" fontId="106" fillId="11" borderId="15" xfId="0" applyNumberFormat="1" applyFont="1" applyFill="1" applyBorder="1" applyAlignment="1">
      <alignment horizontal="center" vertical="center" wrapText="1"/>
    </xf>
    <xf numFmtId="164" fontId="106" fillId="11" borderId="59" xfId="0" applyNumberFormat="1" applyFont="1" applyFill="1" applyBorder="1" applyAlignment="1">
      <alignment horizontal="center" vertical="center" wrapText="1"/>
    </xf>
    <xf numFmtId="167" fontId="2" fillId="0" borderId="2" xfId="0" applyNumberFormat="1" applyFont="1" applyBorder="1" applyAlignment="1">
      <alignment horizontal="center" vertical="center" wrapText="1"/>
    </xf>
    <xf numFmtId="0" fontId="8" fillId="11" borderId="114" xfId="0" applyFont="1" applyFill="1" applyBorder="1" applyAlignment="1">
      <alignment horizontal="center" vertical="center" wrapText="1"/>
    </xf>
    <xf numFmtId="164" fontId="106" fillId="11" borderId="117" xfId="0" applyNumberFormat="1" applyFont="1" applyFill="1" applyBorder="1" applyAlignment="1">
      <alignment horizontal="center" vertical="center" wrapText="1"/>
    </xf>
    <xf numFmtId="164" fontId="2" fillId="0" borderId="151" xfId="0" applyNumberFormat="1" applyFont="1" applyBorder="1" applyAlignment="1">
      <alignment horizontal="center" vertical="center"/>
    </xf>
    <xf numFmtId="164" fontId="2" fillId="0" borderId="158" xfId="0" applyNumberFormat="1" applyFont="1" applyBorder="1" applyAlignment="1">
      <alignment horizontal="center" vertical="center"/>
    </xf>
    <xf numFmtId="170" fontId="12" fillId="10" borderId="26" xfId="0" applyNumberFormat="1" applyFont="1" applyFill="1" applyBorder="1" applyAlignment="1">
      <alignment horizontal="center" vertical="center"/>
    </xf>
    <xf numFmtId="0" fontId="23" fillId="0" borderId="159" xfId="0" applyFont="1" applyBorder="1" applyAlignment="1">
      <alignment horizontal="center" vertical="center" wrapText="1"/>
    </xf>
    <xf numFmtId="1" fontId="117" fillId="0" borderId="160" xfId="0" applyNumberFormat="1" applyFont="1" applyBorder="1" applyAlignment="1">
      <alignment horizontal="center" vertical="center" wrapText="1"/>
    </xf>
    <xf numFmtId="171" fontId="11" fillId="0" borderId="161" xfId="0" applyNumberFormat="1" applyFont="1" applyBorder="1" applyAlignment="1">
      <alignment horizontal="center" vertical="center" wrapText="1"/>
    </xf>
    <xf numFmtId="170" fontId="11" fillId="10" borderId="67" xfId="0" applyNumberFormat="1" applyFont="1" applyFill="1" applyBorder="1" applyAlignment="1">
      <alignment horizontal="center" vertical="center"/>
    </xf>
    <xf numFmtId="0" fontId="6" fillId="0" borderId="162" xfId="0" applyFont="1" applyBorder="1" applyAlignment="1">
      <alignment horizontal="center" vertical="center"/>
    </xf>
    <xf numFmtId="164" fontId="106" fillId="11" borderId="14" xfId="0" applyNumberFormat="1" applyFont="1" applyFill="1" applyBorder="1" applyAlignment="1">
      <alignment horizontal="center" vertical="center" wrapText="1"/>
    </xf>
    <xf numFmtId="9" fontId="10" fillId="3" borderId="163" xfId="0" applyNumberFormat="1" applyFont="1" applyFill="1" applyBorder="1" applyAlignment="1">
      <alignment horizontal="center" vertical="center" wrapText="1"/>
    </xf>
    <xf numFmtId="0" fontId="6" fillId="0" borderId="0" xfId="0" applyFont="1" applyAlignment="1">
      <alignment horizontal="left" vertical="top" wrapText="1"/>
    </xf>
    <xf numFmtId="0" fontId="6" fillId="9" borderId="0" xfId="0" applyFont="1" applyFill="1" applyAlignment="1">
      <alignment horizontal="left" vertical="center" wrapText="1"/>
    </xf>
    <xf numFmtId="0" fontId="97" fillId="9" borderId="0" xfId="0" applyFont="1" applyFill="1" applyAlignment="1">
      <alignment horizontal="left" vertical="center" wrapText="1"/>
    </xf>
    <xf numFmtId="0" fontId="100" fillId="9" borderId="0" xfId="0" applyFont="1" applyFill="1" applyAlignment="1">
      <alignment horizontal="center" vertical="center" wrapText="1"/>
    </xf>
    <xf numFmtId="0" fontId="6" fillId="9" borderId="0" xfId="0" applyFont="1" applyFill="1" applyAlignment="1">
      <alignment horizontal="left" vertical="top" wrapText="1"/>
    </xf>
    <xf numFmtId="0" fontId="40" fillId="0" borderId="18" xfId="0" applyFont="1" applyBorder="1" applyAlignment="1">
      <alignment horizontal="left" vertical="center" wrapText="1"/>
    </xf>
    <xf numFmtId="0" fontId="40" fillId="0" borderId="35" xfId="0" applyFont="1" applyBorder="1" applyAlignment="1">
      <alignment horizontal="left" vertical="center" wrapText="1"/>
    </xf>
    <xf numFmtId="0" fontId="40" fillId="0" borderId="36"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0" fillId="0" borderId="27" xfId="0" applyFont="1" applyBorder="1" applyAlignment="1">
      <alignment horizontal="left" vertical="center" wrapText="1"/>
    </xf>
    <xf numFmtId="0" fontId="40" fillId="0" borderId="17" xfId="0" applyFont="1" applyBorder="1" applyAlignment="1">
      <alignment horizontal="left" vertical="center" wrapText="1"/>
    </xf>
    <xf numFmtId="0" fontId="2" fillId="0" borderId="73" xfId="0" applyFont="1" applyBorder="1" applyAlignment="1">
      <alignment vertical="center" wrapText="1"/>
    </xf>
    <xf numFmtId="0" fontId="2" fillId="0" borderId="50" xfId="0" applyFont="1" applyBorder="1" applyAlignment="1">
      <alignment vertical="center" wrapText="1"/>
    </xf>
    <xf numFmtId="0" fontId="37" fillId="3" borderId="56" xfId="0" applyFont="1" applyFill="1" applyBorder="1" applyAlignment="1">
      <alignment horizontal="center" vertical="center" wrapText="1"/>
    </xf>
    <xf numFmtId="0" fontId="37" fillId="3" borderId="50" xfId="0" applyFont="1" applyFill="1" applyBorder="1" applyAlignment="1">
      <alignment horizontal="center" vertical="center" wrapText="1"/>
    </xf>
    <xf numFmtId="0" fontId="32" fillId="0" borderId="18"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32" fillId="0" borderId="26" xfId="0" applyFont="1" applyBorder="1" applyAlignment="1">
      <alignment horizontal="left" vertical="center" wrapText="1"/>
    </xf>
    <xf numFmtId="0" fontId="32" fillId="0" borderId="27" xfId="0" applyFont="1" applyBorder="1" applyAlignment="1">
      <alignment horizontal="left" vertical="center" wrapText="1"/>
    </xf>
    <xf numFmtId="0" fontId="32" fillId="0" borderId="17" xfId="0" applyFont="1" applyBorder="1" applyAlignment="1">
      <alignment horizontal="left" vertical="center" wrapText="1"/>
    </xf>
    <xf numFmtId="0" fontId="0" fillId="3" borderId="57" xfId="0" applyFill="1" applyBorder="1" applyAlignment="1">
      <alignment horizontal="center" vertical="center" wrapText="1"/>
    </xf>
    <xf numFmtId="0" fontId="0" fillId="3" borderId="52" xfId="0" applyFill="1" applyBorder="1" applyAlignment="1">
      <alignment horizontal="center" vertical="center" wrapText="1"/>
    </xf>
    <xf numFmtId="0" fontId="6" fillId="11" borderId="18" xfId="0" applyFont="1" applyFill="1" applyBorder="1" applyAlignment="1">
      <alignment vertical="center" wrapText="1"/>
    </xf>
    <xf numFmtId="0" fontId="6" fillId="11" borderId="35" xfId="0" applyFont="1" applyFill="1" applyBorder="1" applyAlignment="1">
      <alignment vertical="center" wrapText="1"/>
    </xf>
    <xf numFmtId="0" fontId="6" fillId="11" borderId="36" xfId="0" applyFont="1" applyFill="1" applyBorder="1" applyAlignment="1">
      <alignment vertical="center" wrapText="1"/>
    </xf>
    <xf numFmtId="0" fontId="6" fillId="0" borderId="16" xfId="0" applyFont="1" applyBorder="1" applyAlignment="1">
      <alignment vertical="center" wrapText="1"/>
    </xf>
    <xf numFmtId="0" fontId="6" fillId="0" borderId="41" xfId="0" applyFont="1" applyBorder="1" applyAlignment="1">
      <alignment vertical="center" wrapText="1"/>
    </xf>
    <xf numFmtId="0" fontId="0" fillId="0" borderId="19" xfId="0" applyBorder="1"/>
    <xf numFmtId="0" fontId="0" fillId="0" borderId="27" xfId="0" applyBorder="1"/>
    <xf numFmtId="0" fontId="2" fillId="0" borderId="29" xfId="0" applyFont="1" applyBorder="1" applyAlignment="1">
      <alignment vertical="center" wrapText="1"/>
    </xf>
    <xf numFmtId="0" fontId="2" fillId="0" borderId="28" xfId="0" applyFont="1" applyBorder="1" applyAlignment="1">
      <alignment vertical="center" wrapText="1"/>
    </xf>
    <xf numFmtId="0" fontId="1" fillId="0" borderId="27" xfId="0" applyFont="1" applyBorder="1" applyAlignment="1">
      <alignment horizontal="left" vertical="center"/>
    </xf>
    <xf numFmtId="0" fontId="1" fillId="0" borderId="27" xfId="0" applyFont="1" applyBorder="1" applyAlignment="1">
      <alignment vertical="center" wrapText="1"/>
    </xf>
    <xf numFmtId="0" fontId="1" fillId="0" borderId="14" xfId="0" applyFont="1" applyBorder="1" applyAlignment="1">
      <alignment vertical="center" wrapText="1"/>
    </xf>
    <xf numFmtId="0" fontId="6" fillId="4" borderId="11"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15"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left" vertical="center" wrapText="1"/>
    </xf>
    <xf numFmtId="0" fontId="3" fillId="0" borderId="35" xfId="0" applyFont="1" applyBorder="1" applyAlignment="1">
      <alignment horizontal="left" vertical="center" wrapText="1"/>
    </xf>
    <xf numFmtId="0" fontId="3" fillId="0" borderId="59" xfId="0" applyFont="1" applyBorder="1" applyAlignment="1">
      <alignment horizontal="left" vertical="center" wrapText="1"/>
    </xf>
    <xf numFmtId="0" fontId="1" fillId="0" borderId="27" xfId="0" applyFont="1" applyBorder="1" applyAlignment="1">
      <alignment horizontal="center" vertical="center" wrapText="1"/>
    </xf>
    <xf numFmtId="0" fontId="0" fillId="0" borderId="73" xfId="0" applyBorder="1" applyAlignment="1">
      <alignment horizontal="center" vertical="center"/>
    </xf>
    <xf numFmtId="0" fontId="0" fillId="0" borderId="48" xfId="0" applyBorder="1" applyAlignment="1">
      <alignment horizontal="center" vertical="center"/>
    </xf>
    <xf numFmtId="0" fontId="0" fillId="0" borderId="75" xfId="0" applyBorder="1" applyAlignment="1">
      <alignment horizontal="center" vertical="center"/>
    </xf>
    <xf numFmtId="0" fontId="14" fillId="0" borderId="31" xfId="0" applyFont="1" applyBorder="1" applyAlignment="1">
      <alignment vertical="center" wrapText="1"/>
    </xf>
    <xf numFmtId="0" fontId="14" fillId="0" borderId="76" xfId="0" applyFont="1" applyBorder="1" applyAlignment="1">
      <alignment vertical="center" wrapText="1"/>
    </xf>
    <xf numFmtId="0" fontId="14" fillId="0" borderId="77" xfId="0" applyFont="1" applyBorder="1" applyAlignment="1">
      <alignment vertical="center" wrapText="1"/>
    </xf>
    <xf numFmtId="0" fontId="14" fillId="0" borderId="22" xfId="0" applyFont="1" applyBorder="1" applyAlignment="1">
      <alignment vertical="center" wrapText="1"/>
    </xf>
    <xf numFmtId="0" fontId="14" fillId="0" borderId="34" xfId="0" applyFont="1" applyBorder="1" applyAlignment="1">
      <alignment vertical="center" wrapText="1"/>
    </xf>
    <xf numFmtId="0" fontId="14" fillId="0" borderId="74" xfId="0" applyFont="1" applyBorder="1" applyAlignment="1">
      <alignment vertical="center" wrapText="1"/>
    </xf>
    <xf numFmtId="0" fontId="14" fillId="0" borderId="33" xfId="0" applyFont="1" applyBorder="1" applyAlignment="1">
      <alignment vertical="center" wrapText="1"/>
    </xf>
    <xf numFmtId="0" fontId="14" fillId="0" borderId="78" xfId="0" applyFont="1" applyBorder="1" applyAlignment="1">
      <alignment vertical="center" wrapText="1"/>
    </xf>
    <xf numFmtId="0" fontId="14" fillId="0" borderId="79" xfId="0" applyFont="1" applyBorder="1" applyAlignment="1">
      <alignment vertical="center" wrapText="1"/>
    </xf>
    <xf numFmtId="0" fontId="14" fillId="0" borderId="30" xfId="0" applyFont="1" applyBorder="1" applyAlignment="1">
      <alignment vertical="center" wrapText="1"/>
    </xf>
    <xf numFmtId="0" fontId="14" fillId="0" borderId="39" xfId="0" applyFont="1" applyBorder="1" applyAlignment="1">
      <alignment vertical="center" wrapText="1"/>
    </xf>
    <xf numFmtId="0" fontId="14" fillId="0" borderId="38" xfId="0" applyFont="1" applyBorder="1" applyAlignment="1">
      <alignment vertical="center" wrapText="1"/>
    </xf>
    <xf numFmtId="0" fontId="0" fillId="11" borderId="11"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5" xfId="0" applyFill="1" applyBorder="1" applyAlignment="1">
      <alignment horizontal="center" vertical="center" wrapText="1"/>
    </xf>
    <xf numFmtId="0" fontId="3" fillId="11" borderId="11" xfId="0" applyFont="1" applyFill="1" applyBorder="1" applyAlignment="1">
      <alignment horizontal="left" vertical="center" wrapText="1"/>
    </xf>
    <xf numFmtId="0" fontId="3" fillId="11" borderId="9" xfId="0" applyFont="1" applyFill="1" applyBorder="1" applyAlignment="1">
      <alignment horizontal="left" vertical="center" wrapText="1"/>
    </xf>
    <xf numFmtId="0" fontId="3" fillId="11" borderId="15" xfId="0" applyFont="1" applyFill="1" applyBorder="1" applyAlignment="1">
      <alignment horizontal="left" vertical="center" wrapText="1"/>
    </xf>
    <xf numFmtId="14" fontId="10" fillId="0" borderId="0" xfId="0" quotePrefix="1" applyNumberFormat="1" applyFont="1" applyAlignment="1">
      <alignment horizontal="center" vertical="center" wrapText="1"/>
    </xf>
    <xf numFmtId="0" fontId="53" fillId="8" borderId="42" xfId="0" applyFont="1" applyFill="1" applyBorder="1" applyAlignment="1">
      <alignment horizontal="center" vertical="center" wrapText="1"/>
    </xf>
    <xf numFmtId="0" fontId="53" fillId="8" borderId="3" xfId="0" applyFont="1" applyFill="1" applyBorder="1" applyAlignment="1">
      <alignment horizontal="center" vertical="center" wrapText="1"/>
    </xf>
    <xf numFmtId="0" fontId="8" fillId="0" borderId="6" xfId="0" applyFont="1" applyBorder="1" applyAlignment="1">
      <alignment vertical="center" wrapText="1"/>
    </xf>
    <xf numFmtId="0" fontId="8" fillId="0" borderId="9" xfId="0" applyFont="1" applyBorder="1" applyAlignment="1">
      <alignment vertical="center" wrapText="1"/>
    </xf>
    <xf numFmtId="0" fontId="87" fillId="0" borderId="9" xfId="0" applyFont="1" applyBorder="1" applyAlignment="1">
      <alignment horizontal="center" vertical="top" wrapText="1"/>
    </xf>
    <xf numFmtId="0" fontId="87" fillId="0" borderId="15" xfId="0" applyFont="1" applyBorder="1" applyAlignment="1">
      <alignment horizontal="center" vertical="top" wrapText="1"/>
    </xf>
    <xf numFmtId="0" fontId="5" fillId="3" borderId="6"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92" fillId="0" borderId="11" xfId="0" applyFont="1" applyBorder="1" applyAlignment="1">
      <alignment horizontal="left" vertical="center" wrapText="1"/>
    </xf>
    <xf numFmtId="0" fontId="92" fillId="0" borderId="9" xfId="0" applyFont="1" applyBorder="1" applyAlignment="1">
      <alignment horizontal="left" vertical="center" wrapText="1"/>
    </xf>
    <xf numFmtId="0" fontId="92" fillId="0" borderId="15" xfId="0" applyFont="1" applyBorder="1" applyAlignment="1">
      <alignment horizontal="left" vertical="center" wrapText="1"/>
    </xf>
    <xf numFmtId="0" fontId="92" fillId="9" borderId="9" xfId="0" applyFont="1" applyFill="1" applyBorder="1" applyAlignment="1">
      <alignment horizontal="left" vertical="center" wrapText="1"/>
    </xf>
    <xf numFmtId="0" fontId="92" fillId="9" borderId="7" xfId="0" applyFont="1" applyFill="1" applyBorder="1" applyAlignment="1">
      <alignment horizontal="left" vertical="center" wrapText="1"/>
    </xf>
    <xf numFmtId="0" fontId="94" fillId="9" borderId="9" xfId="0" applyFont="1" applyFill="1" applyBorder="1" applyAlignment="1">
      <alignment horizontal="center" vertical="center" wrapText="1"/>
    </xf>
    <xf numFmtId="0" fontId="94" fillId="9" borderId="15" xfId="0" applyFont="1" applyFill="1" applyBorder="1" applyAlignment="1">
      <alignment horizontal="center" vertical="center" wrapText="1"/>
    </xf>
    <xf numFmtId="0" fontId="93" fillId="9" borderId="9" xfId="0" applyFont="1" applyFill="1" applyBorder="1" applyAlignment="1">
      <alignment horizontal="center" vertical="center" wrapText="1"/>
    </xf>
    <xf numFmtId="0" fontId="93" fillId="9" borderId="15" xfId="0" applyFont="1" applyFill="1" applyBorder="1" applyAlignment="1">
      <alignment horizontal="center" vertical="center" wrapText="1"/>
    </xf>
    <xf numFmtId="0" fontId="6" fillId="11" borderId="6" xfId="0" applyFont="1" applyFill="1" applyBorder="1" applyAlignment="1">
      <alignment horizontal="left" vertical="center" wrapText="1"/>
    </xf>
    <xf numFmtId="0" fontId="6" fillId="11" borderId="9" xfId="0" applyFont="1" applyFill="1" applyBorder="1" applyAlignment="1">
      <alignment horizontal="left" vertical="center" wrapText="1"/>
    </xf>
    <xf numFmtId="0" fontId="6" fillId="11" borderId="7" xfId="0" applyFont="1" applyFill="1" applyBorder="1" applyAlignment="1">
      <alignment horizontal="left" vertical="center" wrapText="1"/>
    </xf>
    <xf numFmtId="0" fontId="6" fillId="0" borderId="49"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40" xfId="0" applyFont="1" applyBorder="1" applyAlignment="1">
      <alignment horizontal="left" vertical="center" wrapText="1"/>
    </xf>
    <xf numFmtId="0" fontId="6" fillId="0" borderId="0" xfId="0" applyFont="1" applyAlignment="1">
      <alignment horizontal="left" vertical="center" wrapText="1"/>
    </xf>
    <xf numFmtId="0" fontId="6" fillId="0" borderId="41" xfId="0" applyFont="1" applyBorder="1" applyAlignment="1">
      <alignment horizontal="left" vertical="center" wrapText="1"/>
    </xf>
    <xf numFmtId="0" fontId="6" fillId="0" borderId="32" xfId="0" applyFont="1" applyBorder="1" applyAlignment="1">
      <alignment horizontal="left" vertical="center" wrapText="1"/>
    </xf>
    <xf numFmtId="0" fontId="6" fillId="0" borderId="20" xfId="0" applyFont="1" applyBorder="1" applyAlignment="1">
      <alignment horizontal="left" vertical="center" wrapText="1"/>
    </xf>
    <xf numFmtId="0" fontId="6" fillId="0" borderId="58" xfId="0" applyFont="1" applyBorder="1" applyAlignment="1">
      <alignment horizontal="left" vertical="center" wrapText="1"/>
    </xf>
    <xf numFmtId="0" fontId="100" fillId="0" borderId="0" xfId="0" applyFont="1" applyAlignment="1">
      <alignment horizontal="center" vertical="center" wrapText="1"/>
    </xf>
    <xf numFmtId="0" fontId="97" fillId="0" borderId="0" xfId="0" applyFont="1" applyAlignment="1">
      <alignment horizontal="left" vertical="center" wrapText="1"/>
    </xf>
    <xf numFmtId="0" fontId="3" fillId="11" borderId="150" xfId="0" applyFont="1" applyFill="1" applyBorder="1" applyAlignment="1">
      <alignment horizontal="left" vertical="center" wrapText="1"/>
    </xf>
    <xf numFmtId="0" fontId="3" fillId="11" borderId="10" xfId="0" applyFont="1" applyFill="1" applyBorder="1" applyAlignment="1">
      <alignment horizontal="left" vertical="center" wrapText="1"/>
    </xf>
    <xf numFmtId="0" fontId="3" fillId="11" borderId="108" xfId="0" applyFont="1" applyFill="1" applyBorder="1" applyAlignment="1">
      <alignment horizontal="left" vertical="center" wrapText="1"/>
    </xf>
    <xf numFmtId="0" fontId="1" fillId="0" borderId="129" xfId="0" applyFont="1" applyBorder="1" applyAlignment="1">
      <alignment horizontal="center" vertical="center" wrapText="1"/>
    </xf>
    <xf numFmtId="0" fontId="1" fillId="0" borderId="8" xfId="0" applyFont="1" applyBorder="1" applyAlignment="1">
      <alignment horizontal="center" vertical="center" wrapText="1"/>
    </xf>
    <xf numFmtId="165" fontId="116" fillId="0" borderId="117" xfId="0" applyNumberFormat="1" applyFont="1" applyBorder="1" applyAlignment="1">
      <alignment horizontal="center" vertical="center" wrapText="1"/>
    </xf>
    <xf numFmtId="165" fontId="116" fillId="0" borderId="41" xfId="0" applyNumberFormat="1" applyFont="1" applyBorder="1" applyAlignment="1">
      <alignment horizontal="center" vertical="center" wrapText="1"/>
    </xf>
    <xf numFmtId="0" fontId="110" fillId="11" borderId="150" xfId="0" applyFont="1" applyFill="1" applyBorder="1" applyAlignment="1">
      <alignment horizontal="left" vertical="center" wrapText="1"/>
    </xf>
    <xf numFmtId="0" fontId="110" fillId="11" borderId="10" xfId="0" applyFont="1" applyFill="1" applyBorder="1" applyAlignment="1">
      <alignment horizontal="left" vertical="center" wrapText="1"/>
    </xf>
    <xf numFmtId="0" fontId="110" fillId="11" borderId="108" xfId="0" applyFont="1" applyFill="1" applyBorder="1" applyAlignment="1">
      <alignment horizontal="left" vertical="center" wrapText="1"/>
    </xf>
    <xf numFmtId="0" fontId="8" fillId="11" borderId="56" xfId="0" applyFont="1" applyFill="1" applyBorder="1" applyAlignment="1">
      <alignment horizontal="left" vertical="center" wrapText="1"/>
    </xf>
    <xf numFmtId="0" fontId="8" fillId="11" borderId="71" xfId="0" applyFont="1" applyFill="1" applyBorder="1" applyAlignment="1">
      <alignment horizontal="left" vertical="center" wrapText="1"/>
    </xf>
    <xf numFmtId="0" fontId="8" fillId="11" borderId="72" xfId="0" applyFont="1" applyFill="1" applyBorder="1" applyAlignment="1">
      <alignment horizontal="left" vertical="center" wrapText="1"/>
    </xf>
    <xf numFmtId="171" fontId="1" fillId="0" borderId="129" xfId="0" applyNumberFormat="1" applyFont="1" applyBorder="1" applyAlignment="1">
      <alignment horizontal="center" vertical="center" wrapText="1"/>
    </xf>
    <xf numFmtId="171" fontId="1" fillId="0" borderId="8" xfId="0" applyNumberFormat="1" applyFont="1" applyBorder="1" applyAlignment="1">
      <alignment horizontal="center" vertical="center" wrapText="1"/>
    </xf>
    <xf numFmtId="0" fontId="14" fillId="11" borderId="43" xfId="0" applyFont="1" applyFill="1" applyBorder="1" applyAlignment="1">
      <alignment horizontal="left" vertical="center" wrapText="1"/>
    </xf>
    <xf numFmtId="0" fontId="14" fillId="11" borderId="35" xfId="0" applyFont="1" applyFill="1" applyBorder="1" applyAlignment="1">
      <alignment horizontal="left" vertical="center" wrapText="1"/>
    </xf>
    <xf numFmtId="0" fontId="14" fillId="11" borderId="36" xfId="0" applyFont="1" applyFill="1" applyBorder="1" applyAlignment="1">
      <alignment horizontal="left" vertical="center" wrapText="1"/>
    </xf>
    <xf numFmtId="0" fontId="14" fillId="11" borderId="40" xfId="0" applyFont="1" applyFill="1" applyBorder="1" applyAlignment="1">
      <alignment horizontal="left" vertical="center" wrapText="1"/>
    </xf>
    <xf numFmtId="0" fontId="14" fillId="11" borderId="0" xfId="0" applyFont="1" applyFill="1" applyAlignment="1">
      <alignment horizontal="left" vertical="center" wrapText="1"/>
    </xf>
    <xf numFmtId="0" fontId="14" fillId="11" borderId="37" xfId="0" applyFont="1" applyFill="1" applyBorder="1" applyAlignment="1">
      <alignment horizontal="left" vertical="center" wrapText="1"/>
    </xf>
    <xf numFmtId="0" fontId="14" fillId="11" borderId="32" xfId="0" applyFont="1" applyFill="1" applyBorder="1" applyAlignment="1">
      <alignment horizontal="left" vertical="center" wrapText="1"/>
    </xf>
    <xf numFmtId="0" fontId="14" fillId="11" borderId="20" xfId="0" applyFont="1" applyFill="1" applyBorder="1" applyAlignment="1">
      <alignment horizontal="left" vertical="center" wrapText="1"/>
    </xf>
    <xf numFmtId="0" fontId="14" fillId="11" borderId="54" xfId="0" applyFont="1" applyFill="1" applyBorder="1" applyAlignment="1">
      <alignment horizontal="left" vertical="center" wrapText="1"/>
    </xf>
    <xf numFmtId="3" fontId="108" fillId="11" borderId="11" xfId="0" applyNumberFormat="1" applyFont="1" applyFill="1" applyBorder="1" applyAlignment="1">
      <alignment horizontal="right" vertical="center" wrapText="1"/>
    </xf>
    <xf numFmtId="3" fontId="108" fillId="11" borderId="7" xfId="0" applyNumberFormat="1" applyFont="1" applyFill="1" applyBorder="1" applyAlignment="1">
      <alignment horizontal="right" vertical="center" wrapText="1"/>
    </xf>
    <xf numFmtId="9" fontId="2" fillId="3" borderId="129" xfId="0" applyNumberFormat="1" applyFont="1" applyFill="1" applyBorder="1" applyAlignment="1">
      <alignment horizontal="center" vertical="center" wrapText="1"/>
    </xf>
    <xf numFmtId="9" fontId="2" fillId="3" borderId="8" xfId="0" applyNumberFormat="1" applyFont="1" applyFill="1" applyBorder="1" applyAlignment="1">
      <alignment horizontal="center" vertical="center" wrapText="1"/>
    </xf>
    <xf numFmtId="0" fontId="10" fillId="11" borderId="2" xfId="0" applyFont="1" applyFill="1" applyBorder="1" applyAlignment="1">
      <alignment horizontal="left" vertical="center" wrapText="1"/>
    </xf>
    <xf numFmtId="0" fontId="10" fillId="11" borderId="10" xfId="0" applyFont="1" applyFill="1" applyBorder="1" applyAlignment="1">
      <alignment horizontal="left" vertical="center" wrapText="1"/>
    </xf>
    <xf numFmtId="0" fontId="10" fillId="11" borderId="108" xfId="0" applyFont="1" applyFill="1" applyBorder="1" applyAlignment="1">
      <alignment horizontal="left" vertical="center" wrapText="1"/>
    </xf>
    <xf numFmtId="0" fontId="93" fillId="0" borderId="109" xfId="0" applyFont="1" applyBorder="1" applyAlignment="1">
      <alignment vertical="center" wrapText="1"/>
    </xf>
    <xf numFmtId="0" fontId="93" fillId="0" borderId="110" xfId="0" applyFont="1" applyBorder="1" applyAlignment="1">
      <alignment vertical="center" wrapText="1"/>
    </xf>
    <xf numFmtId="0" fontId="93" fillId="0" borderId="40" xfId="0" applyFont="1" applyBorder="1" applyAlignment="1">
      <alignment vertical="center" wrapText="1"/>
    </xf>
    <xf numFmtId="0" fontId="93" fillId="0" borderId="0" xfId="0" applyFont="1" applyAlignment="1">
      <alignment vertical="center" wrapText="1"/>
    </xf>
    <xf numFmtId="0" fontId="37" fillId="0" borderId="19" xfId="0" applyFont="1" applyBorder="1" applyAlignment="1">
      <alignment vertical="center" wrapText="1"/>
    </xf>
    <xf numFmtId="0" fontId="37" fillId="0" borderId="17" xfId="0" applyFont="1" applyBorder="1" applyAlignment="1">
      <alignment vertical="center" wrapText="1"/>
    </xf>
    <xf numFmtId="0" fontId="93" fillId="0" borderId="19" xfId="0" applyFont="1" applyBorder="1" applyAlignment="1">
      <alignment vertical="center" wrapText="1"/>
    </xf>
    <xf numFmtId="0" fontId="93" fillId="0" borderId="17" xfId="0" applyFont="1" applyBorder="1" applyAlignment="1">
      <alignment vertical="center" wrapText="1"/>
    </xf>
    <xf numFmtId="0" fontId="3" fillId="11" borderId="16" xfId="0" applyFont="1" applyFill="1" applyBorder="1" applyAlignment="1">
      <alignment horizontal="left" vertical="center" wrapText="1"/>
    </xf>
    <xf numFmtId="0" fontId="3" fillId="11" borderId="37" xfId="0" applyFont="1" applyFill="1" applyBorder="1" applyAlignment="1">
      <alignment horizontal="left" vertical="center" wrapText="1"/>
    </xf>
    <xf numFmtId="0" fontId="3" fillId="11" borderId="53" xfId="0" applyFont="1" applyFill="1" applyBorder="1" applyAlignment="1">
      <alignment horizontal="left" vertical="center" wrapText="1"/>
    </xf>
    <xf numFmtId="0" fontId="3" fillId="11" borderId="54" xfId="0" applyFont="1" applyFill="1" applyBorder="1" applyAlignment="1">
      <alignment horizontal="left" vertical="center" wrapText="1"/>
    </xf>
    <xf numFmtId="0" fontId="8" fillId="0" borderId="27" xfId="0" applyFont="1" applyBorder="1" applyAlignment="1">
      <alignment horizontal="right" vertical="center" wrapText="1"/>
    </xf>
    <xf numFmtId="0" fontId="8" fillId="0" borderId="135" xfId="0" applyFont="1" applyBorder="1" applyAlignment="1">
      <alignment horizontal="right" vertical="center" wrapText="1"/>
    </xf>
    <xf numFmtId="0" fontId="93" fillId="0" borderId="109" xfId="0" applyFont="1" applyBorder="1" applyAlignment="1">
      <alignment horizontal="left" vertical="center" wrapText="1"/>
    </xf>
    <xf numFmtId="0" fontId="93" fillId="0" borderId="110" xfId="0" applyFont="1" applyBorder="1" applyAlignment="1">
      <alignment horizontal="left" vertical="center" wrapText="1"/>
    </xf>
    <xf numFmtId="0" fontId="93" fillId="0" borderId="40" xfId="0" applyFont="1" applyBorder="1" applyAlignment="1">
      <alignment horizontal="left" vertical="center" wrapText="1"/>
    </xf>
    <xf numFmtId="0" fontId="93" fillId="0" borderId="0" xfId="0" applyFont="1" applyAlignment="1">
      <alignment horizontal="left" vertical="center" wrapText="1"/>
    </xf>
    <xf numFmtId="165" fontId="11" fillId="4" borderId="117" xfId="0" applyNumberFormat="1" applyFont="1" applyFill="1" applyBorder="1" applyAlignment="1">
      <alignment horizontal="center" vertical="center" wrapText="1"/>
    </xf>
    <xf numFmtId="165" fontId="11" fillId="4" borderId="142" xfId="0" applyNumberFormat="1" applyFont="1" applyFill="1" applyBorder="1" applyAlignment="1">
      <alignment horizontal="center" vertical="center" wrapText="1"/>
    </xf>
    <xf numFmtId="3" fontId="2" fillId="0" borderId="137" xfId="0" applyNumberFormat="1" applyFont="1" applyBorder="1" applyAlignment="1">
      <alignment horizontal="center" vertical="center" wrapText="1"/>
    </xf>
    <xf numFmtId="3" fontId="2" fillId="0" borderId="138" xfId="0" applyNumberFormat="1" applyFont="1" applyBorder="1" applyAlignment="1">
      <alignment horizontal="center" vertical="center" wrapText="1"/>
    </xf>
    <xf numFmtId="164" fontId="14" fillId="0" borderId="26" xfId="0" applyNumberFormat="1" applyFont="1" applyBorder="1" applyAlignment="1">
      <alignment horizontal="center" vertical="center" wrapText="1"/>
    </xf>
    <xf numFmtId="164" fontId="14" fillId="0" borderId="14" xfId="0" applyNumberFormat="1" applyFont="1" applyBorder="1" applyAlignment="1">
      <alignment horizontal="center" vertical="center" wrapText="1"/>
    </xf>
    <xf numFmtId="0" fontId="2" fillId="0" borderId="47" xfId="0" applyFont="1" applyBorder="1" applyAlignment="1">
      <alignment horizontal="center" vertical="center"/>
    </xf>
    <xf numFmtId="0" fontId="2" fillId="0" borderId="51" xfId="0" applyFont="1" applyBorder="1" applyAlignment="1">
      <alignment horizontal="center" vertical="center"/>
    </xf>
    <xf numFmtId="0" fontId="56" fillId="0" borderId="66" xfId="0" applyFont="1" applyBorder="1" applyAlignment="1">
      <alignment horizontal="center" vertical="center" wrapText="1"/>
    </xf>
    <xf numFmtId="0" fontId="56" fillId="0" borderId="65"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5" xfId="0" applyFont="1" applyBorder="1" applyAlignment="1">
      <alignment horizontal="center" vertical="center" wrapText="1"/>
    </xf>
    <xf numFmtId="0" fontId="8" fillId="11" borderId="40" xfId="0" applyFont="1" applyFill="1" applyBorder="1" applyAlignment="1">
      <alignment horizontal="right" vertical="center" wrapText="1"/>
    </xf>
    <xf numFmtId="0" fontId="8" fillId="11" borderId="0" xfId="0" applyFont="1" applyFill="1" applyAlignment="1">
      <alignment horizontal="right" vertical="center" wrapText="1"/>
    </xf>
    <xf numFmtId="0" fontId="8" fillId="11" borderId="37" xfId="0" applyFont="1" applyFill="1" applyBorder="1" applyAlignment="1">
      <alignment horizontal="right" vertical="center" wrapText="1"/>
    </xf>
    <xf numFmtId="0" fontId="122" fillId="11" borderId="10" xfId="0" applyFont="1" applyFill="1" applyBorder="1" applyAlignment="1">
      <alignment horizontal="left" vertical="center" wrapText="1"/>
    </xf>
    <xf numFmtId="0" fontId="122" fillId="11" borderId="61" xfId="0" applyFont="1" applyFill="1" applyBorder="1" applyAlignment="1">
      <alignment horizontal="left" vertical="center" wrapText="1"/>
    </xf>
    <xf numFmtId="0" fontId="8" fillId="11" borderId="43" xfId="0" applyFont="1" applyFill="1" applyBorder="1" applyAlignment="1">
      <alignment horizontal="left" vertical="center" wrapText="1"/>
    </xf>
    <xf numFmtId="0" fontId="8" fillId="11" borderId="35" xfId="0" applyFont="1" applyFill="1" applyBorder="1" applyAlignment="1">
      <alignment horizontal="left" vertical="center" wrapText="1"/>
    </xf>
    <xf numFmtId="0" fontId="8" fillId="11" borderId="36" xfId="0" applyFont="1" applyFill="1" applyBorder="1" applyAlignment="1">
      <alignment horizontal="left" vertical="center" wrapText="1"/>
    </xf>
    <xf numFmtId="0" fontId="8" fillId="11" borderId="40" xfId="0" applyFont="1" applyFill="1" applyBorder="1" applyAlignment="1">
      <alignment horizontal="left" vertical="center" wrapText="1"/>
    </xf>
    <xf numFmtId="0" fontId="8" fillId="11" borderId="0" xfId="0" applyFont="1" applyFill="1" applyAlignment="1">
      <alignment horizontal="left" vertical="center" wrapText="1"/>
    </xf>
    <xf numFmtId="0" fontId="8" fillId="11" borderId="37" xfId="0" applyFont="1" applyFill="1" applyBorder="1" applyAlignment="1">
      <alignment horizontal="left" vertical="center" wrapText="1"/>
    </xf>
    <xf numFmtId="0" fontId="109" fillId="11" borderId="83" xfId="0" applyFont="1" applyFill="1" applyBorder="1" applyAlignment="1">
      <alignment horizontal="center" vertical="center" wrapText="1"/>
    </xf>
    <xf numFmtId="0" fontId="109" fillId="11" borderId="65" xfId="0" applyFont="1" applyFill="1" applyBorder="1" applyAlignment="1">
      <alignment horizontal="center" vertical="center" wrapText="1"/>
    </xf>
    <xf numFmtId="0" fontId="109" fillId="11" borderId="84" xfId="0" applyFont="1" applyFill="1" applyBorder="1" applyAlignment="1">
      <alignment horizontal="center" vertical="center" wrapText="1"/>
    </xf>
    <xf numFmtId="0" fontId="2" fillId="0" borderId="60"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17" xfId="0" applyFont="1" applyBorder="1" applyAlignment="1">
      <alignment horizontal="center" vertical="center" wrapText="1"/>
    </xf>
    <xf numFmtId="0" fontId="10" fillId="0" borderId="64"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7"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8" xfId="0" applyFont="1" applyBorder="1" applyAlignment="1">
      <alignment horizontal="center" vertical="center" wrapText="1"/>
    </xf>
    <xf numFmtId="0" fontId="3" fillId="0" borderId="67" xfId="0" applyFont="1" applyBorder="1" applyAlignment="1">
      <alignment horizontal="right" vertical="center" wrapText="1"/>
    </xf>
    <xf numFmtId="0" fontId="3" fillId="0" borderId="62" xfId="0" applyFont="1" applyBorder="1" applyAlignment="1">
      <alignment horizontal="right" vertical="center" wrapText="1"/>
    </xf>
    <xf numFmtId="0" fontId="3" fillId="0" borderId="11" xfId="0" applyFont="1" applyBorder="1" applyAlignment="1">
      <alignment horizontal="right" vertical="center" wrapText="1"/>
    </xf>
    <xf numFmtId="0" fontId="3" fillId="0" borderId="7" xfId="0" applyFont="1" applyBorder="1" applyAlignment="1">
      <alignment horizontal="right"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0" xfId="0" applyFont="1" applyBorder="1" applyAlignment="1">
      <alignment horizontal="center" vertical="center" wrapText="1"/>
    </xf>
    <xf numFmtId="0" fontId="1" fillId="0" borderId="139" xfId="0" applyFont="1" applyBorder="1" applyAlignment="1">
      <alignment horizontal="center" vertical="center" wrapText="1"/>
    </xf>
    <xf numFmtId="171" fontId="11" fillId="0" borderId="129" xfId="0" applyNumberFormat="1" applyFont="1" applyBorder="1" applyAlignment="1">
      <alignment horizontal="center" vertical="center" wrapText="1"/>
    </xf>
    <xf numFmtId="171" fontId="11" fillId="0" borderId="139" xfId="0" applyNumberFormat="1" applyFont="1" applyBorder="1" applyAlignment="1">
      <alignment horizontal="center" vertical="center" wrapText="1"/>
    </xf>
    <xf numFmtId="0" fontId="10" fillId="0" borderId="63" xfId="0" applyFont="1" applyBorder="1" applyAlignment="1">
      <alignment horizontal="center" vertical="center" wrapText="1"/>
    </xf>
    <xf numFmtId="0" fontId="10" fillId="0" borderId="17" xfId="0" applyFont="1" applyBorder="1" applyAlignment="1">
      <alignment horizontal="center" vertical="center" wrapText="1"/>
    </xf>
    <xf numFmtId="165" fontId="11" fillId="4" borderId="14" xfId="0" applyNumberFormat="1" applyFont="1" applyFill="1" applyBorder="1" applyAlignment="1">
      <alignment horizontal="center" vertical="center" wrapText="1"/>
    </xf>
    <xf numFmtId="164" fontId="14" fillId="11" borderId="26" xfId="0" applyNumberFormat="1" applyFont="1" applyFill="1" applyBorder="1" applyAlignment="1">
      <alignment horizontal="center" vertical="center" wrapText="1"/>
    </xf>
    <xf numFmtId="164" fontId="14" fillId="11" borderId="14" xfId="0" applyNumberFormat="1" applyFont="1" applyFill="1" applyBorder="1" applyAlignment="1">
      <alignment horizontal="center" vertical="center" wrapText="1"/>
    </xf>
    <xf numFmtId="0" fontId="8" fillId="11" borderId="43" xfId="0" applyFont="1" applyFill="1" applyBorder="1" applyAlignment="1">
      <alignment horizontal="right" vertical="center" wrapText="1"/>
    </xf>
    <xf numFmtId="0" fontId="8" fillId="11" borderId="35" xfId="0" applyFont="1" applyFill="1" applyBorder="1" applyAlignment="1">
      <alignment horizontal="right" vertical="center" wrapText="1"/>
    </xf>
    <xf numFmtId="0" fontId="8" fillId="11" borderId="36" xfId="0" applyFont="1" applyFill="1" applyBorder="1" applyAlignment="1">
      <alignment horizontal="right" vertical="center" wrapText="1"/>
    </xf>
    <xf numFmtId="3" fontId="106" fillId="11" borderId="131" xfId="0" applyNumberFormat="1" applyFont="1" applyFill="1" applyBorder="1" applyAlignment="1">
      <alignment horizontal="center" vertical="center" wrapText="1"/>
    </xf>
    <xf numFmtId="3" fontId="106" fillId="11" borderId="113" xfId="0" applyNumberFormat="1" applyFont="1" applyFill="1" applyBorder="1" applyAlignment="1">
      <alignment horizontal="center" vertical="center" wrapText="1"/>
    </xf>
    <xf numFmtId="3" fontId="107" fillId="11" borderId="112" xfId="0" applyNumberFormat="1" applyFont="1" applyFill="1" applyBorder="1" applyAlignment="1">
      <alignment horizontal="center" vertical="center" wrapText="1"/>
    </xf>
    <xf numFmtId="3" fontId="107" fillId="11" borderId="113" xfId="0" applyNumberFormat="1" applyFont="1" applyFill="1" applyBorder="1" applyAlignment="1">
      <alignment horizontal="center" vertical="center" wrapText="1"/>
    </xf>
    <xf numFmtId="3" fontId="2" fillId="0" borderId="146" xfId="0" applyNumberFormat="1" applyFont="1" applyBorder="1" applyAlignment="1">
      <alignment horizontal="center" vertical="center" wrapText="1"/>
    </xf>
    <xf numFmtId="171" fontId="11" fillId="0" borderId="8" xfId="0" applyNumberFormat="1" applyFont="1" applyBorder="1" applyAlignment="1">
      <alignment horizontal="center" vertical="center" wrapText="1"/>
    </xf>
    <xf numFmtId="0" fontId="122" fillId="11" borderId="2" xfId="0" applyFont="1" applyFill="1" applyBorder="1" applyAlignment="1">
      <alignment horizontal="left" vertical="center" wrapText="1"/>
    </xf>
    <xf numFmtId="0" fontId="8" fillId="11" borderId="32" xfId="0" applyFont="1" applyFill="1" applyBorder="1" applyAlignment="1">
      <alignment horizontal="left" vertical="center" wrapText="1"/>
    </xf>
    <xf numFmtId="0" fontId="8" fillId="11" borderId="20" xfId="0" applyFont="1" applyFill="1" applyBorder="1" applyAlignment="1">
      <alignment horizontal="left" vertical="center" wrapText="1"/>
    </xf>
    <xf numFmtId="0" fontId="8" fillId="11" borderId="54" xfId="0" applyFont="1" applyFill="1" applyBorder="1" applyAlignment="1">
      <alignment horizontal="left" vertical="center" wrapText="1"/>
    </xf>
    <xf numFmtId="0" fontId="120" fillId="11" borderId="10" xfId="0" applyFont="1" applyFill="1" applyBorder="1" applyAlignment="1">
      <alignment vertical="center" wrapText="1"/>
    </xf>
    <xf numFmtId="3" fontId="108" fillId="11" borderId="18" xfId="0" applyNumberFormat="1" applyFont="1" applyFill="1" applyBorder="1" applyAlignment="1">
      <alignment horizontal="right" vertical="center" wrapText="1"/>
    </xf>
    <xf numFmtId="3" fontId="108" fillId="11" borderId="36" xfId="0" applyNumberFormat="1" applyFont="1" applyFill="1" applyBorder="1" applyAlignment="1">
      <alignment horizontal="right" vertical="center" wrapText="1"/>
    </xf>
    <xf numFmtId="165" fontId="14" fillId="0" borderId="130" xfId="0" applyNumberFormat="1" applyFont="1" applyBorder="1" applyAlignment="1">
      <alignment horizontal="left" vertical="center" wrapText="1"/>
    </xf>
    <xf numFmtId="165" fontId="14" fillId="0" borderId="117" xfId="0" applyNumberFormat="1" applyFont="1" applyBorder="1" applyAlignment="1">
      <alignment horizontal="left" vertical="center" wrapText="1"/>
    </xf>
    <xf numFmtId="165" fontId="14" fillId="0" borderId="26" xfId="0" applyNumberFormat="1" applyFont="1" applyBorder="1" applyAlignment="1">
      <alignment horizontal="left" vertical="center" wrapText="1"/>
    </xf>
    <xf numFmtId="165" fontId="14" fillId="0" borderId="14" xfId="0" applyNumberFormat="1" applyFont="1" applyBorder="1" applyAlignment="1">
      <alignment horizontal="left" vertical="center" wrapText="1"/>
    </xf>
    <xf numFmtId="165" fontId="14" fillId="0" borderId="141" xfId="0" applyNumberFormat="1" applyFont="1" applyBorder="1" applyAlignment="1">
      <alignment horizontal="left" vertical="center" wrapText="1"/>
    </xf>
    <xf numFmtId="165" fontId="14" fillId="0" borderId="142" xfId="0" applyNumberFormat="1" applyFont="1" applyBorder="1" applyAlignment="1">
      <alignment horizontal="left" vertical="center" wrapText="1"/>
    </xf>
    <xf numFmtId="164" fontId="14" fillId="11" borderId="16" xfId="0" applyNumberFormat="1" applyFont="1" applyFill="1" applyBorder="1" applyAlignment="1">
      <alignment horizontal="center" vertical="center" wrapText="1"/>
    </xf>
    <xf numFmtId="164" fontId="14" fillId="11" borderId="41" xfId="0" applyNumberFormat="1" applyFont="1" applyFill="1" applyBorder="1" applyAlignment="1">
      <alignment horizontal="center" vertical="center" wrapText="1"/>
    </xf>
    <xf numFmtId="164" fontId="14" fillId="11" borderId="53" xfId="0" applyNumberFormat="1" applyFont="1" applyFill="1" applyBorder="1" applyAlignment="1">
      <alignment horizontal="center" vertical="center" wrapText="1"/>
    </xf>
    <xf numFmtId="164" fontId="14" fillId="11" borderId="58" xfId="0" applyNumberFormat="1" applyFont="1" applyFill="1" applyBorder="1" applyAlignment="1">
      <alignment horizontal="center" vertical="center" wrapText="1"/>
    </xf>
    <xf numFmtId="165" fontId="106" fillId="11" borderId="117" xfId="0" applyNumberFormat="1" applyFont="1" applyFill="1" applyBorder="1" applyAlignment="1">
      <alignment horizontal="center" vertical="center" wrapText="1"/>
    </xf>
    <xf numFmtId="165" fontId="106" fillId="11" borderId="142" xfId="0" applyNumberFormat="1" applyFont="1" applyFill="1" applyBorder="1" applyAlignment="1">
      <alignment horizontal="center" vertical="center" wrapText="1"/>
    </xf>
    <xf numFmtId="3" fontId="108" fillId="11" borderId="146" xfId="0" applyNumberFormat="1" applyFont="1" applyFill="1" applyBorder="1" applyAlignment="1">
      <alignment horizontal="right" vertical="center" wrapText="1"/>
    </xf>
    <xf numFmtId="3" fontId="108" fillId="11" borderId="138" xfId="0" applyNumberFormat="1" applyFont="1" applyFill="1" applyBorder="1" applyAlignment="1">
      <alignment horizontal="right" vertical="center" wrapText="1"/>
    </xf>
    <xf numFmtId="3" fontId="108" fillId="11" borderId="16" xfId="0" applyNumberFormat="1" applyFont="1" applyFill="1" applyBorder="1" applyAlignment="1">
      <alignment horizontal="right" vertical="center" wrapText="1"/>
    </xf>
    <xf numFmtId="3" fontId="108" fillId="11" borderId="37" xfId="0" applyNumberFormat="1" applyFont="1" applyFill="1" applyBorder="1" applyAlignment="1">
      <alignment horizontal="right" vertical="center" wrapText="1"/>
    </xf>
    <xf numFmtId="3" fontId="108" fillId="11" borderId="53" xfId="0" applyNumberFormat="1" applyFont="1" applyFill="1" applyBorder="1" applyAlignment="1">
      <alignment horizontal="right" vertical="center" wrapText="1"/>
    </xf>
    <xf numFmtId="3" fontId="108" fillId="11" borderId="54" xfId="0" applyNumberFormat="1" applyFont="1" applyFill="1" applyBorder="1" applyAlignment="1">
      <alignment horizontal="right" vertical="center" wrapText="1"/>
    </xf>
    <xf numFmtId="0" fontId="3" fillId="0" borderId="64"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6" xfId="0" applyFont="1" applyBorder="1" applyAlignment="1">
      <alignment horizontal="right" vertical="center" wrapText="1"/>
    </xf>
    <xf numFmtId="0" fontId="3" fillId="0" borderId="37" xfId="0" applyFont="1" applyBorder="1" applyAlignment="1">
      <alignment horizontal="right"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55" xfId="0" applyFont="1" applyBorder="1" applyAlignment="1">
      <alignment horizontal="center" vertical="center" wrapText="1"/>
    </xf>
    <xf numFmtId="0" fontId="10" fillId="11" borderId="37" xfId="0" applyFont="1" applyFill="1" applyBorder="1" applyAlignment="1">
      <alignment horizontal="left" vertical="center" wrapText="1"/>
    </xf>
    <xf numFmtId="3" fontId="106" fillId="11" borderId="112" xfId="0" applyNumberFormat="1" applyFont="1" applyFill="1" applyBorder="1" applyAlignment="1">
      <alignment horizontal="center" vertical="center" wrapText="1"/>
    </xf>
    <xf numFmtId="3" fontId="107" fillId="11" borderId="131" xfId="0" applyNumberFormat="1" applyFont="1" applyFill="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0" fontId="2" fillId="0" borderId="81" xfId="0" applyFont="1" applyBorder="1" applyAlignment="1">
      <alignment horizontal="center" vertical="center"/>
    </xf>
    <xf numFmtId="3" fontId="2" fillId="11" borderId="137" xfId="0" applyNumberFormat="1" applyFont="1" applyFill="1" applyBorder="1" applyAlignment="1">
      <alignment horizontal="center" vertical="center" wrapText="1"/>
    </xf>
    <xf numFmtId="3" fontId="2" fillId="11" borderId="138" xfId="0" applyNumberFormat="1" applyFont="1" applyFill="1" applyBorder="1" applyAlignment="1">
      <alignment horizontal="center" vertical="center" wrapText="1"/>
    </xf>
    <xf numFmtId="3" fontId="108" fillId="11" borderId="95" xfId="0" applyNumberFormat="1" applyFont="1" applyFill="1" applyBorder="1" applyAlignment="1">
      <alignment horizontal="right" vertical="center" wrapText="1"/>
    </xf>
    <xf numFmtId="3" fontId="108" fillId="11" borderId="46" xfId="0" applyNumberFormat="1" applyFont="1" applyFill="1" applyBorder="1" applyAlignment="1">
      <alignment horizontal="right" vertical="center" wrapText="1"/>
    </xf>
    <xf numFmtId="0" fontId="12" fillId="0" borderId="47" xfId="0" applyFont="1" applyBorder="1" applyAlignment="1">
      <alignment horizontal="center" vertical="center"/>
    </xf>
    <xf numFmtId="0" fontId="12" fillId="0" borderId="51" xfId="0" applyFont="1" applyBorder="1" applyAlignment="1">
      <alignment horizontal="center" vertical="center"/>
    </xf>
    <xf numFmtId="0" fontId="3" fillId="0" borderId="1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7" xfId="0" applyFont="1" applyBorder="1" applyAlignment="1">
      <alignment horizontal="center" vertical="center" wrapText="1"/>
    </xf>
    <xf numFmtId="3" fontId="107" fillId="11" borderId="156" xfId="0" applyNumberFormat="1" applyFont="1" applyFill="1" applyBorder="1" applyAlignment="1">
      <alignment horizontal="center" vertical="center" wrapText="1"/>
    </xf>
    <xf numFmtId="0" fontId="58" fillId="8" borderId="43" xfId="0" applyFont="1" applyFill="1" applyBorder="1" applyAlignment="1">
      <alignment horizontal="center" vertical="center" wrapText="1"/>
    </xf>
    <xf numFmtId="0" fontId="58" fillId="8" borderId="35" xfId="0" applyFont="1" applyFill="1" applyBorder="1" applyAlignment="1">
      <alignment horizontal="center" vertical="center" wrapText="1"/>
    </xf>
    <xf numFmtId="0" fontId="58" fillId="8" borderId="19" xfId="0" applyFont="1" applyFill="1" applyBorder="1" applyAlignment="1">
      <alignment horizontal="center" vertical="center" wrapText="1"/>
    </xf>
    <xf numFmtId="0" fontId="58" fillId="8" borderId="27" xfId="0" applyFont="1" applyFill="1" applyBorder="1" applyAlignment="1">
      <alignment horizontal="center" vertical="center" wrapText="1"/>
    </xf>
    <xf numFmtId="0" fontId="2" fillId="0" borderId="59" xfId="0" applyFont="1" applyBorder="1" applyAlignment="1">
      <alignment horizontal="center" vertical="center"/>
    </xf>
    <xf numFmtId="3" fontId="111" fillId="11" borderId="131" xfId="0" applyNumberFormat="1" applyFont="1" applyFill="1" applyBorder="1" applyAlignment="1">
      <alignment horizontal="center" vertical="center" wrapText="1"/>
    </xf>
    <xf numFmtId="3" fontId="111" fillId="11" borderId="113" xfId="0" applyNumberFormat="1" applyFont="1" applyFill="1" applyBorder="1" applyAlignment="1">
      <alignment horizontal="center" vertical="center" wrapText="1"/>
    </xf>
    <xf numFmtId="0" fontId="14" fillId="11" borderId="40" xfId="0" applyFont="1" applyFill="1" applyBorder="1" applyAlignment="1">
      <alignment horizontal="left" vertical="top" wrapText="1"/>
    </xf>
    <xf numFmtId="0" fontId="14" fillId="11" borderId="0" xfId="0" applyFont="1" applyFill="1" applyAlignment="1">
      <alignment horizontal="left" vertical="top" wrapText="1"/>
    </xf>
    <xf numFmtId="0" fontId="14" fillId="11" borderId="37" xfId="0" applyFont="1" applyFill="1" applyBorder="1" applyAlignment="1">
      <alignment horizontal="left" vertical="top" wrapText="1"/>
    </xf>
    <xf numFmtId="0" fontId="14" fillId="11" borderId="32" xfId="0" applyFont="1" applyFill="1" applyBorder="1" applyAlignment="1">
      <alignment horizontal="left" vertical="top" wrapText="1"/>
    </xf>
    <xf numFmtId="0" fontId="14" fillId="11" borderId="20" xfId="0" applyFont="1" applyFill="1" applyBorder="1" applyAlignment="1">
      <alignment horizontal="left" vertical="top" wrapText="1"/>
    </xf>
    <xf numFmtId="0" fontId="14" fillId="11" borderId="54" xfId="0" applyFont="1" applyFill="1" applyBorder="1" applyAlignment="1">
      <alignment horizontal="left" vertical="top" wrapText="1"/>
    </xf>
    <xf numFmtId="0" fontId="3" fillId="0" borderId="6" xfId="0" applyFont="1" applyBorder="1" applyAlignment="1">
      <alignment horizontal="left" vertical="center" wrapText="1"/>
    </xf>
    <xf numFmtId="3" fontId="2" fillId="11" borderId="0" xfId="0" applyNumberFormat="1" applyFont="1" applyFill="1" applyAlignment="1">
      <alignment horizontal="center" vertical="center" wrapText="1"/>
    </xf>
    <xf numFmtId="0" fontId="2" fillId="0" borderId="60" xfId="0" applyFont="1" applyBorder="1" applyAlignment="1">
      <alignment horizontal="left" vertical="center" wrapText="1"/>
    </xf>
    <xf numFmtId="0" fontId="2" fillId="0" borderId="10" xfId="0" applyFont="1" applyBorder="1" applyAlignment="1">
      <alignment horizontal="left" vertical="center" wrapText="1"/>
    </xf>
    <xf numFmtId="3" fontId="115" fillId="11" borderId="131" xfId="0" applyNumberFormat="1" applyFont="1" applyFill="1" applyBorder="1" applyAlignment="1">
      <alignment horizontal="center" vertical="center" wrapText="1"/>
    </xf>
    <xf numFmtId="3" fontId="115" fillId="11" borderId="113" xfId="0" applyNumberFormat="1" applyFont="1" applyFill="1" applyBorder="1" applyAlignment="1">
      <alignment horizontal="center" vertical="center" wrapText="1"/>
    </xf>
    <xf numFmtId="0" fontId="2" fillId="0" borderId="18" xfId="0" applyFont="1" applyBorder="1" applyAlignment="1">
      <alignment horizontal="center" vertical="center" wrapText="1"/>
    </xf>
    <xf numFmtId="0" fontId="2" fillId="0" borderId="16" xfId="0" applyFont="1" applyBorder="1" applyAlignment="1">
      <alignment horizontal="center" vertical="center" wrapText="1"/>
    </xf>
    <xf numFmtId="0" fontId="39" fillId="0" borderId="20" xfId="0" applyFont="1" applyBorder="1" applyAlignment="1">
      <alignment horizontal="left" vertical="center" wrapText="1"/>
    </xf>
    <xf numFmtId="0" fontId="39" fillId="0" borderId="58" xfId="0" applyFont="1" applyBorder="1" applyAlignment="1">
      <alignment horizontal="left" vertical="center" wrapText="1"/>
    </xf>
    <xf numFmtId="0" fontId="96" fillId="0" borderId="0" xfId="0" applyFont="1" applyAlignment="1">
      <alignment vertical="center" wrapText="1"/>
    </xf>
    <xf numFmtId="0" fontId="95" fillId="0" borderId="0" xfId="0" applyFont="1" applyAlignment="1">
      <alignment vertical="center" wrapText="1"/>
    </xf>
    <xf numFmtId="0" fontId="121" fillId="11" borderId="10" xfId="0" applyFont="1" applyFill="1" applyBorder="1" applyAlignment="1">
      <alignment horizontal="left" vertical="center" wrapText="1"/>
    </xf>
    <xf numFmtId="0" fontId="121" fillId="11" borderId="61" xfId="0" applyFont="1" applyFill="1" applyBorder="1" applyAlignment="1">
      <alignment horizontal="left" vertical="center" wrapText="1"/>
    </xf>
    <xf numFmtId="0" fontId="119" fillId="11" borderId="10" xfId="0" applyFont="1" applyFill="1" applyBorder="1" applyAlignment="1">
      <alignment horizontal="left" vertical="center" wrapText="1"/>
    </xf>
    <xf numFmtId="0" fontId="119" fillId="11" borderId="61" xfId="0" applyFont="1" applyFill="1" applyBorder="1" applyAlignment="1">
      <alignment horizontal="left" vertical="center" wrapText="1"/>
    </xf>
    <xf numFmtId="0" fontId="118" fillId="11" borderId="10" xfId="0" applyFont="1" applyFill="1" applyBorder="1" applyAlignment="1">
      <alignment horizontal="center" vertical="center" wrapText="1"/>
    </xf>
    <xf numFmtId="0" fontId="118" fillId="11" borderId="61" xfId="0" applyFont="1" applyFill="1" applyBorder="1" applyAlignment="1">
      <alignment horizontal="center" vertical="center" wrapText="1"/>
    </xf>
    <xf numFmtId="0" fontId="1" fillId="0" borderId="64" xfId="0" applyFont="1" applyBorder="1" applyAlignment="1">
      <alignment horizontal="center" vertical="center" wrapText="1"/>
    </xf>
    <xf numFmtId="0" fontId="1" fillId="0" borderId="6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17" xfId="0" applyFont="1" applyBorder="1" applyAlignment="1">
      <alignment horizontal="center" vertical="center" wrapText="1"/>
    </xf>
    <xf numFmtId="0" fontId="123" fillId="11" borderId="2" xfId="0" applyFont="1" applyFill="1" applyBorder="1" applyAlignment="1">
      <alignment horizontal="left" vertical="center" wrapText="1"/>
    </xf>
    <xf numFmtId="0" fontId="123" fillId="11" borderId="10" xfId="0" applyFont="1" applyFill="1" applyBorder="1" applyAlignment="1">
      <alignment horizontal="left" vertical="center" wrapText="1"/>
    </xf>
    <xf numFmtId="0" fontId="123" fillId="11" borderId="61" xfId="0" applyFont="1" applyFill="1" applyBorder="1" applyAlignment="1">
      <alignment horizontal="left" vertical="center" wrapText="1"/>
    </xf>
    <xf numFmtId="9" fontId="2" fillId="3" borderId="139" xfId="0" applyNumberFormat="1" applyFont="1" applyFill="1" applyBorder="1" applyAlignment="1">
      <alignment horizontal="center" vertical="center" wrapText="1"/>
    </xf>
    <xf numFmtId="0" fontId="126" fillId="11" borderId="19" xfId="0" applyFont="1" applyFill="1" applyBorder="1" applyAlignment="1">
      <alignment vertical="center" wrapText="1"/>
    </xf>
    <xf numFmtId="0" fontId="126" fillId="11" borderId="17" xfId="0" applyFont="1" applyFill="1" applyBorder="1" applyAlignment="1">
      <alignment vertical="center" wrapText="1"/>
    </xf>
    <xf numFmtId="0" fontId="132" fillId="0" borderId="101" xfId="0" applyFont="1" applyBorder="1" applyAlignment="1">
      <alignment vertical="center" wrapText="1"/>
    </xf>
    <xf numFmtId="0" fontId="132" fillId="0" borderId="103" xfId="0" applyFont="1" applyBorder="1" applyAlignment="1">
      <alignment vertical="center" wrapText="1"/>
    </xf>
    <xf numFmtId="0" fontId="132" fillId="0" borderId="118" xfId="0" applyFont="1" applyBorder="1" applyAlignment="1">
      <alignment vertical="center" wrapText="1"/>
    </xf>
    <xf numFmtId="0" fontId="132" fillId="0" borderId="126" xfId="0" applyFont="1" applyBorder="1" applyAlignment="1">
      <alignment vertical="center" wrapText="1"/>
    </xf>
    <xf numFmtId="0" fontId="132" fillId="0" borderId="102" xfId="0" applyFont="1" applyBorder="1" applyAlignment="1">
      <alignment vertical="center" wrapText="1"/>
    </xf>
    <xf numFmtId="0" fontId="132" fillId="0" borderId="119" xfId="0" applyFont="1" applyBorder="1" applyAlignment="1">
      <alignment vertical="center" wrapText="1"/>
    </xf>
    <xf numFmtId="0" fontId="93" fillId="0" borderId="101" xfId="0" applyFont="1" applyBorder="1" applyAlignment="1">
      <alignment vertical="center" wrapText="1"/>
    </xf>
    <xf numFmtId="0" fontId="93" fillId="0" borderId="102" xfId="0" applyFont="1" applyBorder="1" applyAlignment="1">
      <alignment vertical="center" wrapText="1"/>
    </xf>
    <xf numFmtId="0" fontId="93" fillId="0" borderId="118" xfId="0" applyFont="1" applyBorder="1" applyAlignment="1">
      <alignment vertical="center" wrapText="1"/>
    </xf>
    <xf numFmtId="0" fontId="93" fillId="0" borderId="119" xfId="0" applyFont="1" applyBorder="1" applyAlignment="1">
      <alignment vertical="center" wrapText="1"/>
    </xf>
    <xf numFmtId="0" fontId="1" fillId="0" borderId="96" xfId="0" applyFont="1" applyBorder="1" applyAlignment="1">
      <alignment horizontal="center" vertical="center" wrapText="1"/>
    </xf>
    <xf numFmtId="0" fontId="1" fillId="0" borderId="123" xfId="0" applyFont="1" applyBorder="1" applyAlignment="1">
      <alignment horizontal="center" vertical="center" wrapText="1"/>
    </xf>
    <xf numFmtId="171" fontId="11" fillId="0" borderId="96" xfId="0" applyNumberFormat="1" applyFont="1" applyBorder="1" applyAlignment="1">
      <alignment horizontal="center" vertical="center" wrapText="1"/>
    </xf>
    <xf numFmtId="171" fontId="11" fillId="0" borderId="123" xfId="0" applyNumberFormat="1" applyFont="1" applyBorder="1" applyAlignment="1">
      <alignment horizontal="center" vertical="center" wrapText="1"/>
    </xf>
    <xf numFmtId="3" fontId="2" fillId="0" borderId="121" xfId="0" applyNumberFormat="1" applyFont="1" applyBorder="1" applyAlignment="1">
      <alignment horizontal="center" vertical="center" wrapText="1"/>
    </xf>
    <xf numFmtId="3" fontId="2" fillId="0" borderId="122" xfId="0" applyNumberFormat="1" applyFont="1" applyBorder="1" applyAlignment="1">
      <alignment horizontal="center" vertical="center" wrapText="1"/>
    </xf>
    <xf numFmtId="3" fontId="107" fillId="11" borderId="97" xfId="0" applyNumberFormat="1" applyFont="1" applyFill="1" applyBorder="1" applyAlignment="1">
      <alignment horizontal="center" vertical="center" wrapText="1"/>
    </xf>
    <xf numFmtId="3" fontId="107" fillId="11" borderId="98" xfId="0" applyNumberFormat="1" applyFont="1" applyFill="1" applyBorder="1" applyAlignment="1">
      <alignment horizontal="center" vertical="center" wrapText="1"/>
    </xf>
    <xf numFmtId="0" fontId="109" fillId="0" borderId="83" xfId="0" applyFont="1" applyBorder="1" applyAlignment="1">
      <alignment horizontal="center" vertical="center" wrapText="1"/>
    </xf>
    <xf numFmtId="0" fontId="109" fillId="0" borderId="65" xfId="0" applyFont="1" applyBorder="1" applyAlignment="1">
      <alignment horizontal="center" vertical="center" wrapText="1"/>
    </xf>
    <xf numFmtId="0" fontId="109" fillId="0" borderId="84" xfId="0" applyFont="1" applyBorder="1" applyAlignment="1">
      <alignment horizontal="center" vertical="center" wrapText="1"/>
    </xf>
    <xf numFmtId="0" fontId="114" fillId="8" borderId="49" xfId="0" applyFont="1" applyFill="1" applyBorder="1" applyAlignment="1">
      <alignment horizontal="center" vertical="center" wrapText="1"/>
    </xf>
    <xf numFmtId="0" fontId="114" fillId="8" borderId="63" xfId="0" applyFont="1" applyFill="1" applyBorder="1" applyAlignment="1">
      <alignment horizontal="center" vertical="center" wrapText="1"/>
    </xf>
    <xf numFmtId="0" fontId="114" fillId="8" borderId="40" xfId="0" applyFont="1" applyFill="1" applyBorder="1" applyAlignment="1">
      <alignment horizontal="center" vertical="center" wrapText="1"/>
    </xf>
    <xf numFmtId="0" fontId="114" fillId="8" borderId="37" xfId="0" applyFont="1" applyFill="1" applyBorder="1" applyAlignment="1">
      <alignment horizontal="center" vertical="center" wrapText="1"/>
    </xf>
    <xf numFmtId="167" fontId="12" fillId="11" borderId="100" xfId="0" applyNumberFormat="1" applyFont="1" applyFill="1" applyBorder="1" applyAlignment="1">
      <alignment horizontal="center" vertical="center" wrapText="1"/>
    </xf>
    <xf numFmtId="167" fontId="12" fillId="11" borderId="125" xfId="0" applyNumberFormat="1" applyFont="1" applyFill="1" applyBorder="1" applyAlignment="1">
      <alignment horizontal="center" vertical="center" wrapText="1"/>
    </xf>
    <xf numFmtId="3" fontId="2" fillId="0" borderId="127" xfId="0" applyNumberFormat="1" applyFont="1" applyBorder="1" applyAlignment="1">
      <alignment horizontal="center" vertical="center" wrapText="1"/>
    </xf>
    <xf numFmtId="0" fontId="87" fillId="0" borderId="47" xfId="0" applyFont="1" applyBorder="1" applyAlignment="1">
      <alignment horizontal="center" vertical="center" wrapText="1"/>
    </xf>
    <xf numFmtId="0" fontId="87" fillId="0" borderId="51" xfId="0" applyFont="1" applyBorder="1" applyAlignment="1">
      <alignment horizontal="center" vertical="center" wrapText="1"/>
    </xf>
    <xf numFmtId="167" fontId="12" fillId="0" borderId="96" xfId="0" applyNumberFormat="1" applyFont="1" applyBorder="1" applyAlignment="1">
      <alignment horizontal="center" vertical="center" wrapText="1"/>
    </xf>
    <xf numFmtId="167" fontId="12" fillId="0" borderId="123" xfId="0" applyNumberFormat="1" applyFont="1" applyBorder="1" applyAlignment="1">
      <alignment horizontal="center" vertical="center" wrapText="1"/>
    </xf>
    <xf numFmtId="3" fontId="106" fillId="11" borderId="97" xfId="0" applyNumberFormat="1" applyFont="1" applyFill="1" applyBorder="1" applyAlignment="1">
      <alignment horizontal="center" vertical="center" wrapText="1"/>
    </xf>
    <xf numFmtId="3" fontId="106" fillId="11" borderId="98" xfId="0" applyNumberFormat="1" applyFont="1" applyFill="1" applyBorder="1" applyAlignment="1">
      <alignment horizontal="center" vertical="center" wrapText="1"/>
    </xf>
    <xf numFmtId="0" fontId="23" fillId="0" borderId="96" xfId="0" applyFont="1" applyBorder="1" applyAlignment="1">
      <alignment horizontal="center" vertical="center" wrapText="1"/>
    </xf>
    <xf numFmtId="0" fontId="23" fillId="0" borderId="123" xfId="0" applyFont="1" applyBorder="1" applyAlignment="1">
      <alignment horizontal="center" vertical="center" wrapText="1"/>
    </xf>
    <xf numFmtId="0" fontId="14" fillId="11" borderId="40" xfId="0" applyFont="1" applyFill="1" applyBorder="1" applyAlignment="1">
      <alignment horizontal="right" vertical="center" wrapText="1"/>
    </xf>
    <xf numFmtId="0" fontId="14" fillId="11" borderId="0" xfId="0" applyFont="1" applyFill="1" applyAlignment="1">
      <alignment horizontal="right" vertical="center" wrapText="1"/>
    </xf>
    <xf numFmtId="0" fontId="14" fillId="11" borderId="37" xfId="0" applyFont="1" applyFill="1" applyBorder="1" applyAlignment="1">
      <alignment horizontal="right"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1" fontId="87" fillId="0" borderId="2" xfId="0" applyNumberFormat="1" applyFont="1" applyBorder="1" applyAlignment="1">
      <alignment horizontal="center" vertical="center" wrapText="1"/>
    </xf>
    <xf numFmtId="1" fontId="87" fillId="0" borderId="1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0" borderId="51" xfId="0" applyFont="1" applyBorder="1" applyAlignment="1">
      <alignment horizontal="center" vertical="center" wrapText="1"/>
    </xf>
    <xf numFmtId="167" fontId="12" fillId="11" borderId="100" xfId="0" applyNumberFormat="1" applyFont="1" applyFill="1" applyBorder="1" applyAlignment="1">
      <alignment horizontal="left" vertical="center" wrapText="1"/>
    </xf>
    <xf numFmtId="167" fontId="12" fillId="11" borderId="125" xfId="0" applyNumberFormat="1" applyFont="1" applyFill="1" applyBorder="1" applyAlignment="1">
      <alignment horizontal="left" vertical="center" wrapText="1"/>
    </xf>
    <xf numFmtId="0" fontId="8" fillId="0" borderId="96" xfId="0" applyFont="1" applyBorder="1" applyAlignment="1">
      <alignment horizontal="center" vertical="center" wrapText="1"/>
    </xf>
    <xf numFmtId="0" fontId="8" fillId="0" borderId="123" xfId="0" applyFont="1" applyBorder="1" applyAlignment="1">
      <alignment horizontal="center" vertical="center" wrapText="1"/>
    </xf>
    <xf numFmtId="0" fontId="56" fillId="0" borderId="84" xfId="0" applyFont="1" applyBorder="1" applyAlignment="1">
      <alignment horizontal="center" vertical="center" wrapText="1"/>
    </xf>
    <xf numFmtId="9" fontId="23" fillId="3" borderId="96" xfId="0" applyNumberFormat="1" applyFont="1" applyFill="1" applyBorder="1" applyAlignment="1">
      <alignment horizontal="center" vertical="center" wrapText="1"/>
    </xf>
    <xf numFmtId="9" fontId="23" fillId="3" borderId="123" xfId="0" applyNumberFormat="1" applyFont="1" applyFill="1" applyBorder="1" applyAlignment="1">
      <alignment horizontal="center" vertical="center" wrapText="1"/>
    </xf>
    <xf numFmtId="0" fontId="2" fillId="3" borderId="107" xfId="0" applyFont="1" applyFill="1" applyBorder="1" applyAlignment="1">
      <alignment horizontal="center" vertical="center" wrapText="1"/>
    </xf>
    <xf numFmtId="0" fontId="2" fillId="3" borderId="120" xfId="0" applyFont="1" applyFill="1" applyBorder="1" applyAlignment="1">
      <alignment horizontal="center" vertical="center" wrapText="1"/>
    </xf>
    <xf numFmtId="0" fontId="10" fillId="0" borderId="11" xfId="0" applyFont="1" applyBorder="1" applyAlignment="1">
      <alignment horizontal="right" vertical="center" wrapText="1"/>
    </xf>
    <xf numFmtId="0" fontId="10" fillId="0" borderId="7" xfId="0" applyFont="1" applyBorder="1" applyAlignment="1">
      <alignment horizontal="right" vertical="center" wrapText="1"/>
    </xf>
    <xf numFmtId="0" fontId="14" fillId="11" borderId="35" xfId="0" applyFont="1" applyFill="1" applyBorder="1" applyAlignment="1">
      <alignment horizontal="right" vertical="center" wrapText="1"/>
    </xf>
    <xf numFmtId="0" fontId="14" fillId="11" borderId="36" xfId="0" applyFont="1" applyFill="1" applyBorder="1" applyAlignment="1">
      <alignment horizontal="right" vertical="center" wrapText="1"/>
    </xf>
    <xf numFmtId="0" fontId="10" fillId="11" borderId="61" xfId="0" applyFont="1" applyFill="1" applyBorder="1" applyAlignment="1">
      <alignment horizontal="left" vertical="center" wrapText="1"/>
    </xf>
    <xf numFmtId="0" fontId="14" fillId="11" borderId="2" xfId="0" applyFont="1" applyFill="1" applyBorder="1" applyAlignment="1">
      <alignment horizontal="left" vertical="center" wrapText="1"/>
    </xf>
    <xf numFmtId="0" fontId="14" fillId="11" borderId="10" xfId="0" applyFont="1" applyFill="1" applyBorder="1" applyAlignment="1">
      <alignment horizontal="left" vertical="center" wrapText="1"/>
    </xf>
    <xf numFmtId="0" fontId="14" fillId="11" borderId="6" xfId="0" applyFont="1" applyFill="1" applyBorder="1" applyAlignment="1">
      <alignment horizontal="right" vertical="center" wrapText="1"/>
    </xf>
    <xf numFmtId="0" fontId="14" fillId="11" borderId="9" xfId="0" applyFont="1" applyFill="1" applyBorder="1" applyAlignment="1">
      <alignment horizontal="right" vertical="center" wrapText="1"/>
    </xf>
    <xf numFmtId="0" fontId="14" fillId="11" borderId="7" xfId="0" applyFont="1" applyFill="1" applyBorder="1" applyAlignment="1">
      <alignment horizontal="right" vertical="center" wrapText="1"/>
    </xf>
    <xf numFmtId="0" fontId="127" fillId="11" borderId="2" xfId="0" applyFont="1" applyFill="1" applyBorder="1" applyAlignment="1">
      <alignment horizontal="left" vertical="center" wrapText="1"/>
    </xf>
    <xf numFmtId="0" fontId="127" fillId="11" borderId="10" xfId="0" applyFont="1" applyFill="1" applyBorder="1" applyAlignment="1">
      <alignment horizontal="left" vertical="center" wrapText="1"/>
    </xf>
    <xf numFmtId="0" fontId="127" fillId="11" borderId="61" xfId="0" applyFont="1" applyFill="1" applyBorder="1" applyAlignment="1">
      <alignment horizontal="left" vertical="center" wrapText="1"/>
    </xf>
    <xf numFmtId="0" fontId="124" fillId="11" borderId="2" xfId="0" applyFont="1" applyFill="1" applyBorder="1" applyAlignment="1">
      <alignment horizontal="left" vertical="center" wrapText="1"/>
    </xf>
    <xf numFmtId="0" fontId="124" fillId="11" borderId="10" xfId="0" applyFont="1" applyFill="1" applyBorder="1" applyAlignment="1">
      <alignment horizontal="left" vertical="center" wrapText="1"/>
    </xf>
    <xf numFmtId="0" fontId="124" fillId="11" borderId="61" xfId="0" applyFont="1" applyFill="1" applyBorder="1" applyAlignment="1">
      <alignment horizontal="left" vertical="center" wrapText="1"/>
    </xf>
    <xf numFmtId="0" fontId="14" fillId="11" borderId="8" xfId="0" applyFont="1" applyFill="1" applyBorder="1" applyAlignment="1">
      <alignment horizontal="left" vertical="center" wrapText="1"/>
    </xf>
    <xf numFmtId="167" fontId="11" fillId="0" borderId="96" xfId="0" applyNumberFormat="1" applyFont="1" applyBorder="1" applyAlignment="1">
      <alignment horizontal="center" vertical="center" wrapText="1"/>
    </xf>
    <xf numFmtId="167" fontId="11" fillId="0" borderId="123" xfId="0" applyNumberFormat="1" applyFont="1" applyBorder="1" applyAlignment="1">
      <alignment horizontal="center" vertical="center" wrapText="1"/>
    </xf>
    <xf numFmtId="167" fontId="12" fillId="11" borderId="106" xfId="0" applyNumberFormat="1" applyFont="1" applyFill="1" applyBorder="1" applyAlignment="1">
      <alignment horizontal="center" vertical="center" wrapText="1"/>
    </xf>
    <xf numFmtId="167" fontId="12" fillId="11" borderId="128" xfId="0" applyNumberFormat="1" applyFont="1" applyFill="1" applyBorder="1" applyAlignment="1">
      <alignment horizontal="center" vertical="center" wrapText="1"/>
    </xf>
    <xf numFmtId="0" fontId="8" fillId="11" borderId="32" xfId="0" applyFont="1" applyFill="1" applyBorder="1" applyAlignment="1">
      <alignment horizontal="right" vertical="center" wrapText="1"/>
    </xf>
    <xf numFmtId="0" fontId="8" fillId="11" borderId="20" xfId="0" applyFont="1" applyFill="1" applyBorder="1" applyAlignment="1">
      <alignment horizontal="right" vertical="center" wrapText="1"/>
    </xf>
    <xf numFmtId="0" fontId="8" fillId="11" borderId="54" xfId="0" applyFont="1" applyFill="1" applyBorder="1" applyAlignment="1">
      <alignment horizontal="right" vertical="center" wrapText="1"/>
    </xf>
    <xf numFmtId="0" fontId="15" fillId="11" borderId="2"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61" xfId="0" applyFont="1" applyFill="1" applyBorder="1" applyAlignment="1">
      <alignment horizontal="center" vertical="center" wrapText="1"/>
    </xf>
    <xf numFmtId="0" fontId="14" fillId="11" borderId="43" xfId="0" applyFont="1" applyFill="1" applyBorder="1" applyAlignment="1">
      <alignment horizontal="right" vertical="center" wrapText="1"/>
    </xf>
    <xf numFmtId="0" fontId="14" fillId="11" borderId="61" xfId="0" applyFont="1" applyFill="1" applyBorder="1" applyAlignment="1">
      <alignment horizontal="left" vertical="center" wrapText="1"/>
    </xf>
    <xf numFmtId="0" fontId="14" fillId="11" borderId="6" xfId="0" applyFont="1" applyFill="1" applyBorder="1" applyAlignment="1">
      <alignment horizontal="left" vertical="center" wrapText="1"/>
    </xf>
    <xf numFmtId="0" fontId="14" fillId="11" borderId="9" xfId="0" applyFont="1" applyFill="1" applyBorder="1" applyAlignment="1">
      <alignment horizontal="left" vertical="center" wrapText="1"/>
    </xf>
    <xf numFmtId="0" fontId="14" fillId="11" borderId="7" xfId="0" applyFont="1" applyFill="1" applyBorder="1" applyAlignment="1">
      <alignment horizontal="left" vertical="center" wrapText="1"/>
    </xf>
    <xf numFmtId="0" fontId="14" fillId="11" borderId="19" xfId="0" applyFont="1" applyFill="1" applyBorder="1" applyAlignment="1">
      <alignment horizontal="right" vertical="center" wrapText="1"/>
    </xf>
    <xf numFmtId="0" fontId="14" fillId="11" borderId="27" xfId="0" applyFont="1" applyFill="1" applyBorder="1" applyAlignment="1">
      <alignment horizontal="right" vertical="center" wrapText="1"/>
    </xf>
    <xf numFmtId="0" fontId="14" fillId="11" borderId="17" xfId="0" applyFont="1" applyFill="1" applyBorder="1" applyAlignment="1">
      <alignment horizontal="right" vertical="center" wrapText="1"/>
    </xf>
    <xf numFmtId="0" fontId="125" fillId="11" borderId="2" xfId="0" applyFont="1" applyFill="1" applyBorder="1" applyAlignment="1">
      <alignment horizontal="left" vertical="center" wrapText="1"/>
    </xf>
    <xf numFmtId="0" fontId="125" fillId="11" borderId="10" xfId="0" applyFont="1" applyFill="1" applyBorder="1" applyAlignment="1">
      <alignment horizontal="left" vertical="center" wrapText="1"/>
    </xf>
    <xf numFmtId="0" fontId="14" fillId="11" borderId="89" xfId="0" applyFont="1" applyFill="1" applyBorder="1" applyAlignment="1">
      <alignment horizontal="right" vertical="center" wrapText="1"/>
    </xf>
    <xf numFmtId="0" fontId="14" fillId="11" borderId="90" xfId="0" applyFont="1" applyFill="1" applyBorder="1" applyAlignment="1">
      <alignment horizontal="right" vertical="center" wrapText="1"/>
    </xf>
    <xf numFmtId="0" fontId="14" fillId="11" borderId="46" xfId="0" applyFont="1" applyFill="1" applyBorder="1" applyAlignment="1">
      <alignment horizontal="right" vertical="center" wrapText="1"/>
    </xf>
    <xf numFmtId="0" fontId="1" fillId="11" borderId="40" xfId="0" applyFont="1" applyFill="1" applyBorder="1" applyAlignment="1">
      <alignment horizontal="left" vertical="center" wrapText="1"/>
    </xf>
    <xf numFmtId="0" fontId="1" fillId="11" borderId="0" xfId="0" applyFont="1" applyFill="1" applyAlignment="1">
      <alignment horizontal="left" vertical="center" wrapText="1"/>
    </xf>
    <xf numFmtId="0" fontId="1" fillId="11" borderId="35" xfId="0" applyFont="1" applyFill="1" applyBorder="1" applyAlignment="1">
      <alignment horizontal="left" vertical="center" wrapText="1"/>
    </xf>
    <xf numFmtId="0" fontId="1" fillId="11" borderId="36" xfId="0" applyFont="1" applyFill="1" applyBorder="1" applyAlignment="1">
      <alignment horizontal="left" vertical="center" wrapText="1"/>
    </xf>
    <xf numFmtId="0" fontId="1" fillId="11" borderId="37" xfId="0" applyFont="1" applyFill="1" applyBorder="1" applyAlignment="1">
      <alignment horizontal="left" vertical="center" wrapText="1"/>
    </xf>
    <xf numFmtId="0" fontId="125" fillId="11" borderId="2" xfId="0" applyFont="1" applyFill="1" applyBorder="1" applyAlignment="1">
      <alignment horizontal="center" vertical="center" wrapText="1"/>
    </xf>
    <xf numFmtId="0" fontId="125" fillId="11" borderId="10" xfId="0" applyFont="1" applyFill="1" applyBorder="1" applyAlignment="1">
      <alignment horizontal="center" vertical="center" wrapText="1"/>
    </xf>
    <xf numFmtId="0" fontId="125" fillId="11" borderId="61" xfId="0" applyFont="1" applyFill="1" applyBorder="1" applyAlignment="1">
      <alignment horizontal="center" vertical="center" wrapText="1"/>
    </xf>
    <xf numFmtId="0" fontId="40" fillId="2" borderId="18" xfId="0" applyFont="1" applyFill="1" applyBorder="1" applyAlignment="1">
      <alignment horizontal="left" vertical="center" wrapText="1"/>
    </xf>
    <xf numFmtId="0" fontId="40" fillId="2" borderId="35" xfId="0" applyFont="1" applyFill="1" applyBorder="1" applyAlignment="1">
      <alignment horizontal="left" vertical="center" wrapText="1"/>
    </xf>
    <xf numFmtId="0" fontId="40" fillId="2" borderId="36"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37" xfId="0" applyFont="1" applyFill="1" applyBorder="1" applyAlignment="1">
      <alignment horizontal="left" vertical="center" wrapText="1"/>
    </xf>
    <xf numFmtId="0" fontId="40" fillId="2" borderId="26"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36" fillId="2" borderId="11"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9" fontId="82" fillId="2" borderId="1" xfId="0" applyNumberFormat="1"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 fillId="4" borderId="1" xfId="0" applyFont="1" applyFill="1" applyBorder="1" applyAlignment="1">
      <alignment horizontal="left" vertical="top" wrapText="1"/>
    </xf>
    <xf numFmtId="0" fontId="14" fillId="2" borderId="1" xfId="0" applyFont="1" applyFill="1" applyBorder="1" applyAlignment="1">
      <alignment horizontal="center" vertical="center" wrapText="1"/>
    </xf>
    <xf numFmtId="9" fontId="14" fillId="2" borderId="1" xfId="0" applyNumberFormat="1" applyFont="1" applyFill="1" applyBorder="1" applyAlignment="1">
      <alignment horizontal="center" vertical="center" wrapText="1"/>
    </xf>
    <xf numFmtId="0" fontId="82" fillId="2" borderId="1"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23" fillId="2" borderId="2"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8" xfId="0" applyFont="1" applyFill="1" applyBorder="1" applyAlignment="1">
      <alignment horizontal="left" vertical="top" wrapText="1"/>
    </xf>
    <xf numFmtId="0" fontId="24" fillId="2" borderId="1" xfId="0" applyFont="1" applyFill="1" applyBorder="1" applyAlignment="1">
      <alignment vertical="center" wrapText="1"/>
    </xf>
    <xf numFmtId="0" fontId="40" fillId="4" borderId="18" xfId="0" applyFont="1" applyFill="1" applyBorder="1" applyAlignment="1">
      <alignment horizontal="left" vertical="center" wrapText="1"/>
    </xf>
    <xf numFmtId="0" fontId="40" fillId="4" borderId="35" xfId="0" applyFont="1" applyFill="1" applyBorder="1" applyAlignment="1">
      <alignment horizontal="left" vertical="center" wrapText="1"/>
    </xf>
    <xf numFmtId="0" fontId="40" fillId="4" borderId="36" xfId="0" applyFont="1" applyFill="1" applyBorder="1" applyAlignment="1">
      <alignment horizontal="left" vertical="center" wrapText="1"/>
    </xf>
    <xf numFmtId="0" fontId="40" fillId="4" borderId="16" xfId="0" applyFont="1" applyFill="1" applyBorder="1" applyAlignment="1">
      <alignment horizontal="left" vertical="center" wrapText="1"/>
    </xf>
    <xf numFmtId="0" fontId="40" fillId="4" borderId="0" xfId="0" applyFont="1" applyFill="1" applyAlignment="1">
      <alignment horizontal="left" vertical="center" wrapText="1"/>
    </xf>
    <xf numFmtId="0" fontId="40" fillId="4" borderId="37" xfId="0" applyFont="1" applyFill="1" applyBorder="1" applyAlignment="1">
      <alignment horizontal="left" vertical="center" wrapText="1"/>
    </xf>
    <xf numFmtId="0" fontId="40" fillId="4" borderId="26" xfId="0" applyFont="1" applyFill="1" applyBorder="1" applyAlignment="1">
      <alignment horizontal="left" vertical="center" wrapText="1"/>
    </xf>
    <xf numFmtId="0" fontId="40" fillId="4" borderId="27" xfId="0" applyFont="1" applyFill="1" applyBorder="1" applyAlignment="1">
      <alignment horizontal="left" vertical="center" wrapText="1"/>
    </xf>
    <xf numFmtId="0" fontId="40" fillId="4" borderId="17" xfId="0" applyFont="1" applyFill="1" applyBorder="1" applyAlignment="1">
      <alignment horizontal="left" vertical="center" wrapText="1"/>
    </xf>
    <xf numFmtId="0" fontId="24" fillId="2" borderId="2" xfId="0" applyFont="1" applyFill="1" applyBorder="1" applyAlignment="1">
      <alignment vertical="center" wrapText="1"/>
    </xf>
    <xf numFmtId="0" fontId="24" fillId="2" borderId="10" xfId="0" applyFont="1" applyFill="1" applyBorder="1" applyAlignment="1">
      <alignment vertical="center" wrapText="1"/>
    </xf>
    <xf numFmtId="0" fontId="24" fillId="2" borderId="8" xfId="0" applyFont="1" applyFill="1" applyBorder="1" applyAlignment="1">
      <alignment vertical="center" wrapText="1"/>
    </xf>
    <xf numFmtId="0" fontId="3" fillId="2" borderId="1" xfId="0" applyFont="1" applyFill="1" applyBorder="1" applyAlignment="1">
      <alignment horizontal="left" vertical="center" wrapText="1"/>
    </xf>
    <xf numFmtId="0" fontId="2" fillId="2" borderId="2"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8" xfId="0" applyFont="1" applyFill="1" applyBorder="1" applyAlignment="1">
      <alignment horizontal="left" vertical="top" wrapText="1"/>
    </xf>
    <xf numFmtId="0" fontId="38" fillId="2" borderId="1" xfId="0" applyFont="1" applyFill="1" applyBorder="1" applyAlignment="1">
      <alignment horizontal="left" vertical="center" wrapText="1"/>
    </xf>
    <xf numFmtId="0" fontId="63" fillId="12" borderId="1" xfId="0" applyFont="1" applyFill="1" applyBorder="1" applyAlignment="1">
      <alignment horizontal="left" vertical="center" wrapText="1"/>
    </xf>
    <xf numFmtId="9" fontId="4" fillId="4" borderId="11" xfId="0" applyNumberFormat="1" applyFont="1" applyFill="1" applyBorder="1" applyAlignment="1">
      <alignment vertical="center"/>
    </xf>
    <xf numFmtId="9" fontId="4" fillId="4" borderId="7" xfId="0" applyNumberFormat="1" applyFont="1" applyFill="1" applyBorder="1" applyAlignment="1">
      <alignment vertical="center"/>
    </xf>
    <xf numFmtId="0" fontId="81" fillId="2" borderId="11"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8" fillId="12" borderId="1" xfId="0" applyFont="1" applyFill="1" applyBorder="1" applyAlignment="1">
      <alignment horizontal="left" vertical="center" wrapText="1"/>
    </xf>
    <xf numFmtId="0" fontId="77" fillId="2" borderId="2" xfId="0" applyFont="1" applyFill="1" applyBorder="1" applyAlignment="1">
      <alignment horizontal="left" vertical="top" wrapText="1"/>
    </xf>
    <xf numFmtId="0" fontId="77" fillId="2" borderId="10" xfId="0" applyFont="1" applyFill="1" applyBorder="1" applyAlignment="1">
      <alignment horizontal="left" vertical="top" wrapText="1"/>
    </xf>
    <xf numFmtId="0" fontId="77" fillId="2" borderId="8" xfId="0" applyFont="1" applyFill="1" applyBorder="1" applyAlignment="1">
      <alignment horizontal="left" vertical="top" wrapText="1"/>
    </xf>
    <xf numFmtId="0" fontId="38" fillId="2" borderId="18" xfId="0" applyFont="1" applyFill="1" applyBorder="1" applyAlignment="1">
      <alignment horizontal="left" vertical="center" wrapText="1"/>
    </xf>
    <xf numFmtId="0" fontId="38" fillId="2" borderId="35" xfId="0" applyFont="1" applyFill="1" applyBorder="1" applyAlignment="1">
      <alignment horizontal="left" vertical="center" wrapText="1"/>
    </xf>
    <xf numFmtId="0" fontId="38" fillId="2" borderId="36"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37"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38" fillId="2" borderId="27" xfId="0" applyFont="1" applyFill="1" applyBorder="1" applyAlignment="1">
      <alignment horizontal="left" vertical="center" wrapText="1"/>
    </xf>
    <xf numFmtId="0" fontId="38" fillId="2" borderId="17" xfId="0" applyFont="1" applyFill="1" applyBorder="1" applyAlignment="1">
      <alignment horizontal="left" vertical="center" wrapText="1"/>
    </xf>
    <xf numFmtId="0" fontId="0" fillId="2" borderId="26" xfId="0" applyFill="1" applyBorder="1" applyAlignment="1">
      <alignment vertical="center" wrapText="1"/>
    </xf>
    <xf numFmtId="0" fontId="0" fillId="2" borderId="17" xfId="0" applyFill="1" applyBorder="1" applyAlignment="1">
      <alignment vertical="center" wrapText="1"/>
    </xf>
    <xf numFmtId="0" fontId="39" fillId="7" borderId="11" xfId="0" applyFont="1" applyFill="1" applyBorder="1" applyAlignment="1">
      <alignment vertical="center"/>
    </xf>
    <xf numFmtId="0" fontId="39" fillId="7" borderId="9" xfId="0" applyFont="1" applyFill="1" applyBorder="1" applyAlignment="1">
      <alignment vertical="center"/>
    </xf>
    <xf numFmtId="0" fontId="39" fillId="7" borderId="7" xfId="0" applyFont="1" applyFill="1" applyBorder="1" applyAlignment="1">
      <alignment vertical="center"/>
    </xf>
    <xf numFmtId="9" fontId="8" fillId="2" borderId="1" xfId="0" applyNumberFormat="1" applyFont="1" applyFill="1" applyBorder="1" applyAlignment="1">
      <alignment horizontal="center" vertical="center" wrapText="1"/>
    </xf>
    <xf numFmtId="0" fontId="3" fillId="2" borderId="1" xfId="0" applyFont="1" applyFill="1" applyBorder="1" applyAlignment="1">
      <alignment horizontal="left" vertical="top" wrapText="1"/>
    </xf>
    <xf numFmtId="0" fontId="3" fillId="2" borderId="11" xfId="0" applyFont="1" applyFill="1" applyBorder="1" applyAlignment="1">
      <alignment horizontal="left" vertical="top" wrapText="1"/>
    </xf>
    <xf numFmtId="0" fontId="8" fillId="2" borderId="1" xfId="0"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0" fillId="2" borderId="11" xfId="0" applyFill="1" applyBorder="1" applyAlignment="1">
      <alignment vertical="center" wrapText="1"/>
    </xf>
    <xf numFmtId="0" fontId="0" fillId="2" borderId="7" xfId="0" applyFill="1" applyBorder="1" applyAlignment="1">
      <alignment vertical="center" wrapText="1"/>
    </xf>
    <xf numFmtId="0" fontId="0" fillId="7" borderId="11" xfId="0" applyFill="1" applyBorder="1" applyAlignment="1">
      <alignment vertical="center"/>
    </xf>
    <xf numFmtId="0" fontId="0" fillId="7" borderId="9" xfId="0" applyFill="1" applyBorder="1" applyAlignment="1">
      <alignment vertical="center"/>
    </xf>
    <xf numFmtId="0" fontId="0" fillId="7" borderId="7" xfId="0" applyFill="1" applyBorder="1" applyAlignment="1">
      <alignment vertical="center"/>
    </xf>
    <xf numFmtId="0" fontId="65" fillId="7" borderId="11" xfId="0" applyFont="1" applyFill="1" applyBorder="1" applyAlignment="1">
      <alignment vertical="center"/>
    </xf>
    <xf numFmtId="0" fontId="65" fillId="7" borderId="9" xfId="0" applyFont="1" applyFill="1" applyBorder="1" applyAlignment="1">
      <alignment vertical="center"/>
    </xf>
    <xf numFmtId="0" fontId="65" fillId="7" borderId="7" xfId="0" applyFont="1" applyFill="1" applyBorder="1" applyAlignment="1">
      <alignment vertical="center"/>
    </xf>
    <xf numFmtId="0" fontId="6" fillId="7" borderId="11" xfId="0" applyFont="1" applyFill="1" applyBorder="1" applyAlignment="1">
      <alignment vertical="center"/>
    </xf>
    <xf numFmtId="0" fontId="6" fillId="7" borderId="9" xfId="0" applyFont="1" applyFill="1" applyBorder="1" applyAlignment="1">
      <alignment vertical="center"/>
    </xf>
    <xf numFmtId="0" fontId="6" fillId="7" borderId="7" xfId="0" applyFont="1" applyFill="1" applyBorder="1" applyAlignment="1">
      <alignment vertical="center"/>
    </xf>
    <xf numFmtId="0" fontId="63" fillId="7" borderId="11" xfId="0" applyFont="1" applyFill="1" applyBorder="1" applyAlignment="1">
      <alignment vertical="center"/>
    </xf>
    <xf numFmtId="0" fontId="63" fillId="7" borderId="9" xfId="0" applyFont="1" applyFill="1" applyBorder="1" applyAlignment="1">
      <alignment vertical="center"/>
    </xf>
    <xf numFmtId="0" fontId="63" fillId="7" borderId="7" xfId="0" applyFont="1" applyFill="1" applyBorder="1" applyAlignment="1">
      <alignment vertical="center"/>
    </xf>
    <xf numFmtId="0" fontId="1" fillId="4" borderId="11" xfId="0" applyFont="1" applyFill="1" applyBorder="1" applyAlignment="1">
      <alignment vertical="center"/>
    </xf>
    <xf numFmtId="0" fontId="1" fillId="4" borderId="9" xfId="0" applyFont="1" applyFill="1" applyBorder="1" applyAlignment="1">
      <alignment vertical="center"/>
    </xf>
    <xf numFmtId="0" fontId="1" fillId="4" borderId="7" xfId="0" applyFont="1" applyFill="1" applyBorder="1" applyAlignment="1">
      <alignment vertical="center"/>
    </xf>
    <xf numFmtId="0" fontId="10"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9" fontId="14" fillId="2" borderId="1" xfId="0" applyNumberFormat="1" applyFont="1" applyFill="1" applyBorder="1" applyAlignment="1">
      <alignment horizontal="left" vertical="center" wrapText="1"/>
    </xf>
    <xf numFmtId="0" fontId="25" fillId="2" borderId="1" xfId="0" applyFont="1" applyFill="1" applyBorder="1" applyAlignment="1">
      <alignment vertical="center" wrapText="1"/>
    </xf>
    <xf numFmtId="0" fontId="8" fillId="4" borderId="11" xfId="0" applyFont="1" applyFill="1" applyBorder="1" applyAlignment="1">
      <alignment vertical="center" wrapText="1"/>
    </xf>
    <xf numFmtId="0" fontId="8" fillId="4" borderId="7" xfId="0" applyFont="1" applyFill="1" applyBorder="1" applyAlignment="1">
      <alignment vertical="center" wrapText="1"/>
    </xf>
    <xf numFmtId="0" fontId="8" fillId="11" borderId="11" xfId="0" applyFont="1" applyFill="1" applyBorder="1" applyAlignment="1">
      <alignment vertical="center" wrapText="1"/>
    </xf>
    <xf numFmtId="0" fontId="8" fillId="11" borderId="9" xfId="0" applyFont="1" applyFill="1" applyBorder="1" applyAlignment="1">
      <alignment vertical="center" wrapText="1"/>
    </xf>
    <xf numFmtId="0" fontId="8" fillId="11" borderId="7" xfId="0" applyFont="1" applyFill="1" applyBorder="1" applyAlignment="1">
      <alignment vertical="center" wrapText="1"/>
    </xf>
    <xf numFmtId="0" fontId="0" fillId="2" borderId="18" xfId="0" applyFill="1" applyBorder="1" applyAlignment="1">
      <alignment vertical="center" wrapText="1"/>
    </xf>
    <xf numFmtId="0" fontId="0" fillId="2" borderId="36" xfId="0" applyFill="1" applyBorder="1" applyAlignment="1">
      <alignment vertical="center" wrapText="1"/>
    </xf>
    <xf numFmtId="0" fontId="0" fillId="2" borderId="35" xfId="0" applyFill="1" applyBorder="1" applyAlignment="1">
      <alignment vertical="center" wrapText="1"/>
    </xf>
    <xf numFmtId="0" fontId="0" fillId="2" borderId="16" xfId="0" applyFill="1" applyBorder="1" applyAlignment="1">
      <alignment vertical="center" wrapText="1"/>
    </xf>
    <xf numFmtId="0" fontId="0" fillId="2" borderId="0" xfId="0" applyFill="1" applyAlignment="1">
      <alignment vertical="center" wrapText="1"/>
    </xf>
    <xf numFmtId="0" fontId="0" fillId="4" borderId="18" xfId="0" applyFill="1" applyBorder="1" applyAlignment="1">
      <alignment vertical="center" wrapText="1"/>
    </xf>
    <xf numFmtId="0" fontId="0" fillId="4" borderId="36" xfId="0" applyFill="1" applyBorder="1" applyAlignment="1">
      <alignment vertical="center" wrapText="1"/>
    </xf>
    <xf numFmtId="0" fontId="0" fillId="2" borderId="27" xfId="0" applyFill="1" applyBorder="1" applyAlignment="1">
      <alignment vertical="center" wrapText="1"/>
    </xf>
    <xf numFmtId="0" fontId="63" fillId="12" borderId="1" xfId="0" applyFont="1" applyFill="1" applyBorder="1" applyAlignment="1">
      <alignment vertical="center" wrapText="1"/>
    </xf>
    <xf numFmtId="0" fontId="0" fillId="2" borderId="1" xfId="0" applyFill="1" applyBorder="1" applyAlignment="1">
      <alignment vertical="center" wrapText="1"/>
    </xf>
  </cellXfs>
  <cellStyles count="4">
    <cellStyle name="Bad" xfId="3" builtinId="27"/>
    <cellStyle name="Hiperłącze 2" xfId="2" xr:uid="{00000000-0005-0000-0000-000001000000}"/>
    <cellStyle name="Normal" xfId="0" builtinId="0"/>
    <cellStyle name="Normalny 2" xfId="1" xr:uid="{00000000-0005-0000-0000-000005000000}"/>
  </cellStyles>
  <dxfs count="0"/>
  <tableStyles count="0" defaultTableStyle="TableStyleMedium2" defaultPivotStyle="PivotStyleLight16"/>
  <colors>
    <mruColors>
      <color rgb="FFFEFFE9"/>
      <color rgb="FFA80000"/>
      <color rgb="FF8C0000"/>
      <color rgb="FFDAFBFF"/>
      <color rgb="FF078D86"/>
      <color rgb="FF09A49B"/>
      <color rgb="FFFFF7CC"/>
      <color rgb="FFF95D64"/>
      <color rgb="FFFFDD8B"/>
      <color rgb="FFFE88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165099</xdr:colOff>
      <xdr:row>0</xdr:row>
      <xdr:rowOff>190500</xdr:rowOff>
    </xdr:from>
    <xdr:to>
      <xdr:col>13</xdr:col>
      <xdr:colOff>505669</xdr:colOff>
      <xdr:row>31</xdr:row>
      <xdr:rowOff>177800</xdr:rowOff>
    </xdr:to>
    <xdr:pic>
      <xdr:nvPicPr>
        <xdr:cNvPr id="2" name="Picture 1">
          <a:extLst>
            <a:ext uri="{FF2B5EF4-FFF2-40B4-BE49-F238E27FC236}">
              <a16:creationId xmlns:a16="http://schemas.microsoft.com/office/drawing/2014/main" id="{F05237E5-A425-5016-CF80-9BA561F243B1}"/>
            </a:ext>
          </a:extLst>
        </xdr:cNvPr>
        <xdr:cNvPicPr>
          <a:picLocks noChangeAspect="1"/>
        </xdr:cNvPicPr>
      </xdr:nvPicPr>
      <xdr:blipFill>
        <a:blip xmlns:r="http://schemas.openxmlformats.org/officeDocument/2006/relationships" r:embed="rId1"/>
        <a:stretch>
          <a:fillRect/>
        </a:stretch>
      </xdr:blipFill>
      <xdr:spPr>
        <a:xfrm>
          <a:off x="165099" y="190500"/>
          <a:ext cx="11072070" cy="628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38894</xdr:colOff>
      <xdr:row>9</xdr:row>
      <xdr:rowOff>38257</xdr:rowOff>
    </xdr:from>
    <xdr:to>
      <xdr:col>3</xdr:col>
      <xdr:colOff>2854677</xdr:colOff>
      <xdr:row>19</xdr:row>
      <xdr:rowOff>0</xdr:rowOff>
    </xdr:to>
    <xdr:pic>
      <xdr:nvPicPr>
        <xdr:cNvPr id="2" name="Picture 1">
          <a:extLst>
            <a:ext uri="{FF2B5EF4-FFF2-40B4-BE49-F238E27FC236}">
              <a16:creationId xmlns:a16="http://schemas.microsoft.com/office/drawing/2014/main" id="{A32FF25F-0D35-9DD7-4C06-0951755528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582194" y="3124357"/>
          <a:ext cx="2815783" cy="2730343"/>
        </a:xfrm>
        <a:prstGeom prst="rect">
          <a:avLst/>
        </a:prstGeom>
      </xdr:spPr>
    </xdr:pic>
    <xdr:clientData/>
  </xdr:twoCellAnchor>
  <xdr:twoCellAnchor editAs="oneCell">
    <xdr:from>
      <xdr:col>3</xdr:col>
      <xdr:colOff>25400</xdr:colOff>
      <xdr:row>25</xdr:row>
      <xdr:rowOff>25400</xdr:rowOff>
    </xdr:from>
    <xdr:to>
      <xdr:col>3</xdr:col>
      <xdr:colOff>2806699</xdr:colOff>
      <xdr:row>34</xdr:row>
      <xdr:rowOff>279400</xdr:rowOff>
    </xdr:to>
    <xdr:pic>
      <xdr:nvPicPr>
        <xdr:cNvPr id="3" name="Picture 2">
          <a:extLst>
            <a:ext uri="{FF2B5EF4-FFF2-40B4-BE49-F238E27FC236}">
              <a16:creationId xmlns:a16="http://schemas.microsoft.com/office/drawing/2014/main" id="{17879FD4-F27A-FAB0-619B-21DEDA3A353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568700" y="7467600"/>
          <a:ext cx="2781299" cy="276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8</xdr:col>
      <xdr:colOff>38100</xdr:colOff>
      <xdr:row>13</xdr:row>
      <xdr:rowOff>374720</xdr:rowOff>
    </xdr:from>
    <xdr:ext cx="1270000" cy="673100"/>
    <xdr:pic>
      <xdr:nvPicPr>
        <xdr:cNvPr id="2" name="Picture 1" descr="iisbe logo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4732819" y="8023259"/>
          <a:ext cx="1270000" cy="673100"/>
        </a:xfrm>
        <a:prstGeom prst="rect">
          <a:avLst/>
        </a:prstGeom>
        <a:noFill/>
      </xdr:spPr>
    </xdr:pic>
    <xdr:clientData/>
  </xdr:oneCellAnchor>
  <xdr:twoCellAnchor editAs="oneCell">
    <xdr:from>
      <xdr:col>7</xdr:col>
      <xdr:colOff>185504</xdr:colOff>
      <xdr:row>2</xdr:row>
      <xdr:rowOff>279400</xdr:rowOff>
    </xdr:from>
    <xdr:to>
      <xdr:col>9</xdr:col>
      <xdr:colOff>657460</xdr:colOff>
      <xdr:row>2</xdr:row>
      <xdr:rowOff>2486187</xdr:rowOff>
    </xdr:to>
    <xdr:pic>
      <xdr:nvPicPr>
        <xdr:cNvPr id="3" name="Picture 2">
          <a:extLst>
            <a:ext uri="{FF2B5EF4-FFF2-40B4-BE49-F238E27FC236}">
              <a16:creationId xmlns:a16="http://schemas.microsoft.com/office/drawing/2014/main" id="{0B0DBA0A-36E2-894C-9ABD-404660F87F9D}"/>
            </a:ext>
          </a:extLst>
        </xdr:cNvPr>
        <xdr:cNvPicPr>
          <a:picLocks noChangeAspect="1"/>
        </xdr:cNvPicPr>
      </xdr:nvPicPr>
      <xdr:blipFill>
        <a:blip xmlns:r="http://schemas.openxmlformats.org/officeDocument/2006/relationships" r:embed="rId2"/>
        <a:stretch>
          <a:fillRect/>
        </a:stretch>
      </xdr:blipFill>
      <xdr:spPr>
        <a:xfrm>
          <a:off x="4266628" y="1021422"/>
          <a:ext cx="1670607" cy="22067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63500</xdr:colOff>
      <xdr:row>2</xdr:row>
      <xdr:rowOff>127000</xdr:rowOff>
    </xdr:from>
    <xdr:ext cx="1092200" cy="558800"/>
    <xdr:pic>
      <xdr:nvPicPr>
        <xdr:cNvPr id="2" name="Picture 1" descr="iisbe logo2">
          <a:extLst>
            <a:ext uri="{FF2B5EF4-FFF2-40B4-BE49-F238E27FC236}">
              <a16:creationId xmlns:a16="http://schemas.microsoft.com/office/drawing/2014/main" id="{71906A05-64C3-634C-BC4B-95A88236CCF9}"/>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146800" y="571500"/>
          <a:ext cx="1092200" cy="558800"/>
        </a:xfrm>
        <a:prstGeom prst="rect">
          <a:avLst/>
        </a:prstGeom>
        <a:noFill/>
      </xdr:spPr>
    </xdr:pic>
    <xdr:clientData/>
  </xdr:oneCellAnchor>
  <xdr:twoCellAnchor editAs="oneCell">
    <xdr:from>
      <xdr:col>3</xdr:col>
      <xdr:colOff>38100</xdr:colOff>
      <xdr:row>166</xdr:row>
      <xdr:rowOff>40784</xdr:rowOff>
    </xdr:from>
    <xdr:to>
      <xdr:col>4</xdr:col>
      <xdr:colOff>25990</xdr:colOff>
      <xdr:row>168</xdr:row>
      <xdr:rowOff>128057</xdr:rowOff>
    </xdr:to>
    <xdr:pic>
      <xdr:nvPicPr>
        <xdr:cNvPr id="6" name="Picture 5">
          <a:extLst>
            <a:ext uri="{FF2B5EF4-FFF2-40B4-BE49-F238E27FC236}">
              <a16:creationId xmlns:a16="http://schemas.microsoft.com/office/drawing/2014/main" id="{8BF6ADC3-D8A7-C24D-B3F9-0D17B754830D}"/>
            </a:ext>
          </a:extLst>
        </xdr:cNvPr>
        <xdr:cNvPicPr>
          <a:picLocks noChangeAspect="1"/>
        </xdr:cNvPicPr>
      </xdr:nvPicPr>
      <xdr:blipFill>
        <a:blip xmlns:r="http://schemas.openxmlformats.org/officeDocument/2006/relationships" r:embed="rId2"/>
        <a:stretch>
          <a:fillRect/>
        </a:stretch>
      </xdr:blipFill>
      <xdr:spPr>
        <a:xfrm>
          <a:off x="1397000" y="53393484"/>
          <a:ext cx="1270590" cy="722273"/>
        </a:xfrm>
        <a:prstGeom prst="rect">
          <a:avLst/>
        </a:prstGeom>
        <a:ln w="12700">
          <a:solidFill>
            <a:schemeClr val="tx1">
              <a:lumMod val="65000"/>
              <a:lumOff val="35000"/>
            </a:schemeClr>
          </a:solidFill>
        </a:ln>
      </xdr:spPr>
    </xdr:pic>
    <xdr:clientData/>
  </xdr:twoCellAnchor>
  <xdr:twoCellAnchor editAs="oneCell">
    <xdr:from>
      <xdr:col>3</xdr:col>
      <xdr:colOff>144426</xdr:colOff>
      <xdr:row>213</xdr:row>
      <xdr:rowOff>38099</xdr:rowOff>
    </xdr:from>
    <xdr:to>
      <xdr:col>3</xdr:col>
      <xdr:colOff>965200</xdr:colOff>
      <xdr:row>216</xdr:row>
      <xdr:rowOff>279400</xdr:rowOff>
    </xdr:to>
    <xdr:pic>
      <xdr:nvPicPr>
        <xdr:cNvPr id="9" name="Picture 8">
          <a:extLst>
            <a:ext uri="{FF2B5EF4-FFF2-40B4-BE49-F238E27FC236}">
              <a16:creationId xmlns:a16="http://schemas.microsoft.com/office/drawing/2014/main" id="{2A5B8E62-D12B-CBDB-0C6C-34496354BD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503326" y="67754499"/>
          <a:ext cx="820774" cy="1181101"/>
        </a:xfrm>
        <a:prstGeom prst="rect">
          <a:avLst/>
        </a:prstGeom>
      </xdr:spPr>
    </xdr:pic>
    <xdr:clientData/>
  </xdr:twoCellAnchor>
  <xdr:twoCellAnchor editAs="oneCell">
    <xdr:from>
      <xdr:col>3</xdr:col>
      <xdr:colOff>304801</xdr:colOff>
      <xdr:row>189</xdr:row>
      <xdr:rowOff>49503</xdr:rowOff>
    </xdr:from>
    <xdr:to>
      <xdr:col>3</xdr:col>
      <xdr:colOff>979097</xdr:colOff>
      <xdr:row>192</xdr:row>
      <xdr:rowOff>254000</xdr:rowOff>
    </xdr:to>
    <xdr:pic>
      <xdr:nvPicPr>
        <xdr:cNvPr id="4" name="Picture 3">
          <a:extLst>
            <a:ext uri="{FF2B5EF4-FFF2-40B4-BE49-F238E27FC236}">
              <a16:creationId xmlns:a16="http://schemas.microsoft.com/office/drawing/2014/main" id="{5DE15F62-216D-5A09-177C-000D09DFCE65}"/>
            </a:ext>
          </a:extLst>
        </xdr:cNvPr>
        <xdr:cNvPicPr>
          <a:picLocks noChangeAspect="1"/>
        </xdr:cNvPicPr>
      </xdr:nvPicPr>
      <xdr:blipFill>
        <a:blip xmlns:r="http://schemas.openxmlformats.org/officeDocument/2006/relationships" r:embed="rId4"/>
        <a:stretch>
          <a:fillRect/>
        </a:stretch>
      </xdr:blipFill>
      <xdr:spPr>
        <a:xfrm>
          <a:off x="1663701" y="60412603"/>
          <a:ext cx="674296" cy="1169697"/>
        </a:xfrm>
        <a:prstGeom prst="rect">
          <a:avLst/>
        </a:prstGeom>
      </xdr:spPr>
    </xdr:pic>
    <xdr:clientData/>
  </xdr:twoCellAnchor>
  <xdr:twoCellAnchor editAs="oneCell">
    <xdr:from>
      <xdr:col>3</xdr:col>
      <xdr:colOff>34786</xdr:colOff>
      <xdr:row>75</xdr:row>
      <xdr:rowOff>88900</xdr:rowOff>
    </xdr:from>
    <xdr:to>
      <xdr:col>3</xdr:col>
      <xdr:colOff>1282699</xdr:colOff>
      <xdr:row>77</xdr:row>
      <xdr:rowOff>167341</xdr:rowOff>
    </xdr:to>
    <xdr:pic>
      <xdr:nvPicPr>
        <xdr:cNvPr id="11" name="Picture 10">
          <a:extLst>
            <a:ext uri="{FF2B5EF4-FFF2-40B4-BE49-F238E27FC236}">
              <a16:creationId xmlns:a16="http://schemas.microsoft.com/office/drawing/2014/main" id="{5531BEE3-8C29-494B-5A99-75E4482D386C}"/>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92000"/>
                  </a14:imgEffect>
                </a14:imgLayer>
              </a14:imgProps>
            </a:ext>
          </a:extLst>
        </a:blip>
        <a:stretch>
          <a:fillRect/>
        </a:stretch>
      </xdr:blipFill>
      <xdr:spPr>
        <a:xfrm>
          <a:off x="1393686" y="25234900"/>
          <a:ext cx="1247913" cy="675341"/>
        </a:xfrm>
        <a:prstGeom prst="rect">
          <a:avLst/>
        </a:prstGeom>
      </xdr:spPr>
    </xdr:pic>
    <xdr:clientData/>
  </xdr:twoCellAnchor>
  <xdr:twoCellAnchor editAs="oneCell">
    <xdr:from>
      <xdr:col>3</xdr:col>
      <xdr:colOff>40020</xdr:colOff>
      <xdr:row>96</xdr:row>
      <xdr:rowOff>0</xdr:rowOff>
    </xdr:from>
    <xdr:to>
      <xdr:col>3</xdr:col>
      <xdr:colOff>1270980</xdr:colOff>
      <xdr:row>98</xdr:row>
      <xdr:rowOff>215900</xdr:rowOff>
    </xdr:to>
    <xdr:pic>
      <xdr:nvPicPr>
        <xdr:cNvPr id="16" name="Picture 15">
          <a:extLst>
            <a:ext uri="{FF2B5EF4-FFF2-40B4-BE49-F238E27FC236}">
              <a16:creationId xmlns:a16="http://schemas.microsoft.com/office/drawing/2014/main" id="{5C8DFC5C-127E-4744-BA7D-C25DFE61A4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398920" y="16129000"/>
          <a:ext cx="1230960" cy="812800"/>
        </a:xfrm>
        <a:prstGeom prst="rect">
          <a:avLst/>
        </a:prstGeom>
      </xdr:spPr>
    </xdr:pic>
    <xdr:clientData/>
  </xdr:twoCellAnchor>
  <xdr:twoCellAnchor editAs="oneCell">
    <xdr:from>
      <xdr:col>3</xdr:col>
      <xdr:colOff>38099</xdr:colOff>
      <xdr:row>119</xdr:row>
      <xdr:rowOff>38032</xdr:rowOff>
    </xdr:from>
    <xdr:to>
      <xdr:col>3</xdr:col>
      <xdr:colOff>1257300</xdr:colOff>
      <xdr:row>121</xdr:row>
      <xdr:rowOff>127000</xdr:rowOff>
    </xdr:to>
    <xdr:pic>
      <xdr:nvPicPr>
        <xdr:cNvPr id="19" name="Picture 18">
          <a:extLst>
            <a:ext uri="{FF2B5EF4-FFF2-40B4-BE49-F238E27FC236}">
              <a16:creationId xmlns:a16="http://schemas.microsoft.com/office/drawing/2014/main" id="{4790916C-6204-77BF-11E7-5C500671A889}"/>
            </a:ext>
          </a:extLst>
        </xdr:cNvPr>
        <xdr:cNvPicPr>
          <a:picLocks noChangeAspect="1"/>
        </xdr:cNvPicPr>
      </xdr:nvPicPr>
      <xdr:blipFill>
        <a:blip xmlns:r="http://schemas.openxmlformats.org/officeDocument/2006/relationships" r:embed="rId8"/>
        <a:stretch>
          <a:fillRect/>
        </a:stretch>
      </xdr:blipFill>
      <xdr:spPr>
        <a:xfrm>
          <a:off x="1396999" y="18630832"/>
          <a:ext cx="1219201" cy="685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88900</xdr:colOff>
      <xdr:row>2</xdr:row>
      <xdr:rowOff>177800</xdr:rowOff>
    </xdr:from>
    <xdr:ext cx="952500" cy="495300"/>
    <xdr:pic>
      <xdr:nvPicPr>
        <xdr:cNvPr id="2" name="Picture 1" descr="iisbe logo2">
          <a:extLst>
            <a:ext uri="{FF2B5EF4-FFF2-40B4-BE49-F238E27FC236}">
              <a16:creationId xmlns:a16="http://schemas.microsoft.com/office/drawing/2014/main" id="{03A11F65-64FB-B04F-8CDC-0B080D53D73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5905500" y="698500"/>
          <a:ext cx="952500" cy="495300"/>
        </a:xfrm>
        <a:prstGeom prst="rect">
          <a:avLst/>
        </a:prstGeom>
        <a:noFill/>
      </xdr:spPr>
    </xdr:pic>
    <xdr:clientData/>
  </xdr:oneCellAnchor>
  <xdr:twoCellAnchor editAs="oneCell">
    <xdr:from>
      <xdr:col>3</xdr:col>
      <xdr:colOff>100464</xdr:colOff>
      <xdr:row>52</xdr:row>
      <xdr:rowOff>12701</xdr:rowOff>
    </xdr:from>
    <xdr:to>
      <xdr:col>3</xdr:col>
      <xdr:colOff>1121706</xdr:colOff>
      <xdr:row>55</xdr:row>
      <xdr:rowOff>279400</xdr:rowOff>
    </xdr:to>
    <xdr:pic>
      <xdr:nvPicPr>
        <xdr:cNvPr id="4" name="Picture 3">
          <a:extLst>
            <a:ext uri="{FF2B5EF4-FFF2-40B4-BE49-F238E27FC236}">
              <a16:creationId xmlns:a16="http://schemas.microsoft.com/office/drawing/2014/main" id="{486692CE-495B-406B-C196-7FB5360AA9ED}"/>
            </a:ext>
          </a:extLst>
        </xdr:cNvPr>
        <xdr:cNvPicPr>
          <a:picLocks noChangeAspect="1"/>
        </xdr:cNvPicPr>
      </xdr:nvPicPr>
      <xdr:blipFill>
        <a:blip xmlns:r="http://schemas.openxmlformats.org/officeDocument/2006/relationships" r:embed="rId2"/>
        <a:stretch>
          <a:fillRect/>
        </a:stretch>
      </xdr:blipFill>
      <xdr:spPr>
        <a:xfrm>
          <a:off x="1497464" y="7988301"/>
          <a:ext cx="1021242" cy="1206499"/>
        </a:xfrm>
        <a:prstGeom prst="rect">
          <a:avLst/>
        </a:prstGeom>
      </xdr:spPr>
    </xdr:pic>
    <xdr:clientData/>
  </xdr:twoCellAnchor>
  <xdr:twoCellAnchor>
    <xdr:from>
      <xdr:col>13</xdr:col>
      <xdr:colOff>127000</xdr:colOff>
      <xdr:row>5</xdr:row>
      <xdr:rowOff>0</xdr:rowOff>
    </xdr:from>
    <xdr:to>
      <xdr:col>16</xdr:col>
      <xdr:colOff>673100</xdr:colOff>
      <xdr:row>6</xdr:row>
      <xdr:rowOff>0</xdr:rowOff>
    </xdr:to>
    <xdr:sp macro="" textlink="">
      <xdr:nvSpPr>
        <xdr:cNvPr id="3" name="TextBox 2">
          <a:extLst>
            <a:ext uri="{FF2B5EF4-FFF2-40B4-BE49-F238E27FC236}">
              <a16:creationId xmlns:a16="http://schemas.microsoft.com/office/drawing/2014/main" id="{65E62157-DE22-561E-CA00-B2DE99F156B8}"/>
            </a:ext>
          </a:extLst>
        </xdr:cNvPr>
        <xdr:cNvSpPr txBox="1"/>
      </xdr:nvSpPr>
      <xdr:spPr>
        <a:xfrm>
          <a:off x="10096500" y="1485900"/>
          <a:ext cx="6070600" cy="2679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i="0" baseline="0">
              <a:latin typeface="Calibri Light" panose="020F0302020204030204" pitchFamily="34" charset="0"/>
              <a:cs typeface="Calibri Light" panose="020F0302020204030204" pitchFamily="34" charset="0"/>
            </a:rPr>
            <a:t>Costs per m2 and total cost for each building component are multiplied by the gross area of the building type (see cell E15) to produce a very approximate cost of repair per building, to bring it back to the original (unimproved) state. </a:t>
          </a:r>
        </a:p>
        <a:p>
          <a:pPr marL="0" marR="0" lvl="0" indent="0" defTabSz="914400" eaLnBrk="1" fontAlgn="auto" latinLnBrk="0" hangingPunct="1">
            <a:lnSpc>
              <a:spcPct val="100000"/>
            </a:lnSpc>
            <a:spcBef>
              <a:spcPts val="0"/>
            </a:spcBef>
            <a:spcAft>
              <a:spcPts val="0"/>
            </a:spcAft>
            <a:buClrTx/>
            <a:buSzTx/>
            <a:buFontTx/>
            <a:buNone/>
            <a:tabLst/>
            <a:defRPr/>
          </a:pPr>
          <a:r>
            <a:rPr lang="en-US" sz="1600" b="0" i="0" baseline="0">
              <a:latin typeface="Calibri Light" panose="020F0302020204030204" pitchFamily="34" charset="0"/>
              <a:cs typeface="Calibri Light" panose="020F0302020204030204" pitchFamily="34" charset="0"/>
            </a:rPr>
            <a:t>There are exceptions to this in the case of lifts and building equipment such as emergency generators, which are entered as separate cost items in Column L. (see Health Facilities 3 below on lines 142 to 142).</a:t>
          </a:r>
        </a:p>
        <a:p>
          <a:r>
            <a:rPr lang="en-US" sz="1600" b="0" i="0" baseline="0">
              <a:latin typeface="Calibri Light" panose="020F0302020204030204" pitchFamily="34" charset="0"/>
              <a:cs typeface="Calibri Light" panose="020F0302020204030204" pitchFamily="34" charset="0"/>
            </a:rPr>
            <a:t>The number of buildings with similar characteristics (e.g E13 or E22) is not used in this file but could be used to produce aggregate costs in the future.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0556-2685-E64C-AF06-1C881E233BAE}">
  <dimension ref="A1"/>
  <sheetViews>
    <sheetView workbookViewId="0">
      <selection activeCell="K36" sqref="K36"/>
    </sheetView>
  </sheetViews>
  <sheetFormatPr baseColWidth="10" defaultRowHeight="16"/>
  <cols>
    <col min="1" max="16384" width="10.83203125" style="129"/>
  </cols>
  <sheetData/>
  <printOptions horizontalCentered="1" verticalCentered="1"/>
  <pageMargins left="0.70866141732283472" right="0.70866141732283472" top="0.74803149606299213" bottom="0.74803149606299213" header="0.31496062992125984" footer="0.31496062992125984"/>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A615-D443-B34F-B71E-610C4FE7EED8}">
  <dimension ref="A1:E35"/>
  <sheetViews>
    <sheetView workbookViewId="0">
      <selection activeCell="F16" sqref="F16"/>
    </sheetView>
  </sheetViews>
  <sheetFormatPr baseColWidth="10" defaultRowHeight="22" customHeight="1"/>
  <cols>
    <col min="1" max="1" width="4.6640625" style="280" customWidth="1"/>
    <col min="2" max="2" width="37.83203125" style="280" customWidth="1"/>
    <col min="3" max="3" width="4" style="280" customWidth="1"/>
    <col min="4" max="4" width="37.83203125" style="280" customWidth="1"/>
    <col min="5" max="16384" width="10.83203125" style="280"/>
  </cols>
  <sheetData>
    <row r="1" spans="1:5" ht="16" customHeight="1">
      <c r="A1" s="291"/>
      <c r="B1" s="291"/>
      <c r="C1" s="291"/>
      <c r="D1" s="292">
        <v>44894</v>
      </c>
      <c r="E1" s="291"/>
    </row>
    <row r="2" spans="1:5" ht="42" customHeight="1">
      <c r="A2" s="291"/>
      <c r="B2" s="611" t="s">
        <v>2022</v>
      </c>
      <c r="C2" s="611"/>
      <c r="D2" s="611"/>
      <c r="E2" s="291"/>
    </row>
    <row r="3" spans="1:5" ht="22" customHeight="1">
      <c r="A3" s="291"/>
      <c r="B3" s="610" t="s">
        <v>2026</v>
      </c>
      <c r="C3" s="291"/>
      <c r="D3" s="293" t="s">
        <v>2025</v>
      </c>
      <c r="E3" s="291"/>
    </row>
    <row r="4" spans="1:5" ht="23" customHeight="1">
      <c r="A4" s="291"/>
      <c r="B4" s="610"/>
      <c r="C4" s="291"/>
      <c r="D4" s="609" t="s">
        <v>2028</v>
      </c>
      <c r="E4" s="291"/>
    </row>
    <row r="5" spans="1:5" ht="22" customHeight="1">
      <c r="A5" s="291"/>
      <c r="B5" s="612" t="s">
        <v>2070</v>
      </c>
      <c r="C5" s="291"/>
      <c r="D5" s="609"/>
      <c r="E5" s="291"/>
    </row>
    <row r="6" spans="1:5" ht="22" customHeight="1">
      <c r="A6" s="291"/>
      <c r="B6" s="612"/>
      <c r="C6" s="291"/>
      <c r="D6" s="609"/>
      <c r="E6" s="291"/>
    </row>
    <row r="7" spans="1:5" ht="22" customHeight="1">
      <c r="A7" s="291"/>
      <c r="B7" s="612"/>
      <c r="C7" s="291"/>
      <c r="D7" s="609"/>
      <c r="E7" s="291"/>
    </row>
    <row r="8" spans="1:5" ht="22" customHeight="1">
      <c r="A8" s="291"/>
      <c r="B8" s="612"/>
      <c r="C8" s="291"/>
      <c r="D8" s="609"/>
      <c r="E8" s="291"/>
    </row>
    <row r="9" spans="1:5" ht="52" customHeight="1">
      <c r="A9" s="291"/>
      <c r="B9" s="612"/>
      <c r="C9" s="291"/>
      <c r="D9" s="609"/>
      <c r="E9" s="291"/>
    </row>
    <row r="10" spans="1:5" ht="22" customHeight="1">
      <c r="A10" s="291"/>
      <c r="B10" s="612"/>
      <c r="C10" s="291"/>
      <c r="D10" s="291"/>
      <c r="E10" s="291"/>
    </row>
    <row r="11" spans="1:5" ht="22" customHeight="1">
      <c r="A11" s="291"/>
      <c r="B11" s="612"/>
      <c r="C11" s="291"/>
      <c r="D11" s="291"/>
      <c r="E11" s="291"/>
    </row>
    <row r="12" spans="1:5" ht="22" customHeight="1">
      <c r="A12" s="291"/>
      <c r="B12" s="612"/>
      <c r="C12" s="291"/>
      <c r="D12" s="291"/>
      <c r="E12" s="291"/>
    </row>
    <row r="13" spans="1:5" ht="22" customHeight="1">
      <c r="A13" s="291"/>
      <c r="B13" s="612"/>
      <c r="C13" s="291"/>
      <c r="D13" s="291"/>
      <c r="E13" s="291"/>
    </row>
    <row r="14" spans="1:5" ht="22" customHeight="1">
      <c r="A14" s="291"/>
      <c r="B14" s="612"/>
      <c r="C14" s="291"/>
      <c r="D14" s="291"/>
      <c r="E14" s="291"/>
    </row>
    <row r="15" spans="1:5" ht="22" customHeight="1">
      <c r="A15" s="291"/>
      <c r="B15" s="612"/>
      <c r="C15" s="291"/>
      <c r="D15" s="291"/>
      <c r="E15" s="291"/>
    </row>
    <row r="16" spans="1:5" ht="22" customHeight="1">
      <c r="A16" s="291"/>
      <c r="B16" s="612"/>
      <c r="C16" s="291"/>
      <c r="D16" s="291"/>
      <c r="E16" s="291"/>
    </row>
    <row r="17" spans="1:5" ht="22" customHeight="1">
      <c r="A17" s="291"/>
      <c r="B17" s="612"/>
      <c r="C17" s="291"/>
      <c r="D17" s="291"/>
      <c r="E17" s="291"/>
    </row>
    <row r="18" spans="1:5" ht="22" customHeight="1">
      <c r="A18" s="291"/>
      <c r="B18" s="612"/>
      <c r="C18" s="291"/>
      <c r="D18" s="291"/>
      <c r="E18" s="291"/>
    </row>
    <row r="19" spans="1:5" ht="20" customHeight="1">
      <c r="A19" s="291"/>
      <c r="B19" s="284" t="s">
        <v>2021</v>
      </c>
      <c r="C19" s="291"/>
      <c r="E19" s="291"/>
    </row>
    <row r="20" spans="1:5" ht="22" customHeight="1">
      <c r="A20" s="291"/>
      <c r="B20" s="613" t="s">
        <v>2027</v>
      </c>
      <c r="C20" s="614"/>
      <c r="D20" s="615"/>
      <c r="E20" s="291"/>
    </row>
    <row r="21" spans="1:5" ht="22" customHeight="1">
      <c r="A21" s="291"/>
      <c r="B21" s="616"/>
      <c r="C21" s="617"/>
      <c r="D21" s="618"/>
      <c r="E21" s="291"/>
    </row>
    <row r="22" spans="1:5" ht="22" customHeight="1">
      <c r="A22" s="291"/>
      <c r="B22" s="616"/>
      <c r="C22" s="617"/>
      <c r="D22" s="618"/>
      <c r="E22" s="291"/>
    </row>
    <row r="23" spans="1:5" ht="22" customHeight="1">
      <c r="A23" s="291"/>
      <c r="B23" s="616"/>
      <c r="C23" s="617"/>
      <c r="D23" s="618"/>
      <c r="E23" s="291"/>
    </row>
    <row r="24" spans="1:5" ht="22" customHeight="1">
      <c r="A24" s="291"/>
      <c r="B24" s="616"/>
      <c r="C24" s="617"/>
      <c r="D24" s="618"/>
      <c r="E24" s="291"/>
    </row>
    <row r="25" spans="1:5" ht="10" customHeight="1">
      <c r="A25" s="291"/>
      <c r="B25" s="619"/>
      <c r="C25" s="620"/>
      <c r="D25" s="621"/>
      <c r="E25" s="291"/>
    </row>
    <row r="26" spans="1:5" ht="22" customHeight="1">
      <c r="A26" s="291"/>
      <c r="B26" s="291"/>
      <c r="C26" s="291"/>
      <c r="E26" s="291"/>
    </row>
    <row r="27" spans="1:5" ht="22" customHeight="1">
      <c r="A27" s="291"/>
      <c r="B27" s="281" t="s">
        <v>2024</v>
      </c>
      <c r="E27" s="291"/>
    </row>
    <row r="28" spans="1:5" ht="22" customHeight="1">
      <c r="A28" s="291"/>
      <c r="B28" s="608" t="s">
        <v>2023</v>
      </c>
      <c r="E28" s="291"/>
    </row>
    <row r="29" spans="1:5" ht="22" customHeight="1">
      <c r="A29" s="291"/>
      <c r="B29" s="608"/>
      <c r="E29" s="291"/>
    </row>
    <row r="30" spans="1:5" ht="22" customHeight="1">
      <c r="A30" s="291"/>
      <c r="B30" s="608"/>
      <c r="E30" s="291"/>
    </row>
    <row r="31" spans="1:5" ht="22" customHeight="1">
      <c r="A31" s="291"/>
      <c r="B31" s="608"/>
      <c r="E31" s="291"/>
    </row>
    <row r="32" spans="1:5" ht="22" customHeight="1">
      <c r="A32" s="291"/>
      <c r="B32" s="608"/>
      <c r="E32" s="291"/>
    </row>
    <row r="33" spans="2:2" ht="22" customHeight="1">
      <c r="B33" s="608"/>
    </row>
    <row r="34" spans="2:2" ht="22" customHeight="1">
      <c r="B34" s="608"/>
    </row>
    <row r="35" spans="2:2" ht="26" customHeight="1">
      <c r="B35" s="608"/>
    </row>
  </sheetData>
  <mergeCells count="6">
    <mergeCell ref="B28:B35"/>
    <mergeCell ref="D4:D9"/>
    <mergeCell ref="B3:B4"/>
    <mergeCell ref="B2:D2"/>
    <mergeCell ref="B5:B18"/>
    <mergeCell ref="B20:D25"/>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rowBreaks count="1" manualBreakCount="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U18"/>
  <sheetViews>
    <sheetView zoomScale="89" zoomScaleNormal="89" workbookViewId="0">
      <selection activeCell="G10" sqref="G10:J10"/>
    </sheetView>
  </sheetViews>
  <sheetFormatPr baseColWidth="10" defaultColWidth="10.6640625" defaultRowHeight="16"/>
  <cols>
    <col min="1" max="1" width="1.83203125" customWidth="1"/>
    <col min="2" max="2" width="4.33203125" customWidth="1"/>
    <col min="3" max="3" width="10.33203125" customWidth="1"/>
    <col min="4" max="4" width="11.1640625" customWidth="1"/>
    <col min="5" max="5" width="10" customWidth="1"/>
    <col min="6" max="6" width="8.5" customWidth="1"/>
    <col min="7" max="7" width="7.5" customWidth="1"/>
    <col min="8" max="8" width="8" customWidth="1"/>
    <col min="9" max="9" width="7.6640625" customWidth="1"/>
    <col min="10" max="10" width="10.1640625" customWidth="1"/>
    <col min="11" max="11" width="3.6640625" customWidth="1"/>
    <col min="12" max="12" width="15.6640625" customWidth="1"/>
    <col min="13" max="13" width="13.5" customWidth="1"/>
    <col min="14" max="14" width="13.33203125" customWidth="1"/>
    <col min="16" max="16" width="14.5" customWidth="1"/>
    <col min="17" max="17" width="19.5" customWidth="1"/>
  </cols>
  <sheetData>
    <row r="1" spans="2:21" ht="21" customHeight="1" thickBot="1">
      <c r="B1" s="132"/>
      <c r="D1" s="7"/>
      <c r="E1" s="15"/>
      <c r="F1" s="4"/>
      <c r="G1" s="6"/>
      <c r="H1" s="3"/>
      <c r="I1" s="675"/>
      <c r="J1" s="675"/>
      <c r="L1" s="14"/>
      <c r="M1" s="2"/>
      <c r="O1" s="2"/>
      <c r="P1" s="4"/>
      <c r="Q1" s="10"/>
      <c r="R1" s="4"/>
      <c r="S1" s="4"/>
      <c r="T1" s="4"/>
    </row>
    <row r="2" spans="2:21" ht="37" customHeight="1">
      <c r="B2" s="676" t="str">
        <f>Languages!I186</f>
        <v>iiSBE Damage Assessment Tool</v>
      </c>
      <c r="C2" s="677"/>
      <c r="D2" s="677"/>
      <c r="E2" s="677"/>
      <c r="F2" s="677"/>
      <c r="G2" s="677"/>
      <c r="H2" s="677"/>
      <c r="I2" s="677"/>
      <c r="J2" s="150" t="s">
        <v>2210</v>
      </c>
      <c r="L2" s="626" t="s">
        <v>1044</v>
      </c>
      <c r="M2" s="627"/>
      <c r="N2" s="628"/>
      <c r="O2" s="2"/>
      <c r="P2" s="4"/>
      <c r="Q2" s="10"/>
      <c r="R2" s="4"/>
      <c r="S2" s="4"/>
      <c r="T2" s="4"/>
    </row>
    <row r="3" spans="2:21" ht="199" customHeight="1">
      <c r="B3" s="678" t="str">
        <f>Languages!$P$171</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C3" s="679"/>
      <c r="D3" s="679"/>
      <c r="E3" s="679"/>
      <c r="F3" s="679"/>
      <c r="G3" s="679"/>
      <c r="H3" s="680" t="s">
        <v>1763</v>
      </c>
      <c r="I3" s="680"/>
      <c r="J3" s="681"/>
      <c r="L3" s="629"/>
      <c r="M3" s="630"/>
      <c r="N3" s="631"/>
      <c r="O3" s="2"/>
      <c r="P3" s="4"/>
      <c r="Q3" s="4"/>
      <c r="R3" s="4"/>
      <c r="S3" s="4"/>
      <c r="T3" s="4"/>
    </row>
    <row r="4" spans="2:21" s="4" customFormat="1" ht="33" customHeight="1">
      <c r="B4" s="252" t="s">
        <v>1233</v>
      </c>
      <c r="C4" s="688" t="str">
        <f>Languages!I173</f>
        <v>Damage Assessments for Sustainable Reconstruction in Ukraine</v>
      </c>
      <c r="D4" s="688"/>
      <c r="E4" s="688"/>
      <c r="F4" s="688"/>
      <c r="G4" s="689"/>
      <c r="H4" s="685" t="str">
        <f>IF(C4=Languages!$I$173, Languages!$N$173,IF(C4=Languages!$I$174, Languages!$N$174,IF(C4=Languages!$I$175, Languages!$N$175,"")))</f>
        <v>Irpin urban area</v>
      </c>
      <c r="I4" s="686"/>
      <c r="J4" s="687"/>
      <c r="L4" s="88"/>
      <c r="M4" s="88"/>
      <c r="N4" s="88"/>
      <c r="O4" s="2"/>
      <c r="U4"/>
    </row>
    <row r="5" spans="2:21" s="4" customFormat="1" ht="33" customHeight="1">
      <c r="B5" s="252" t="s">
        <v>1234</v>
      </c>
      <c r="C5" s="688" t="str">
        <f>Languages!I174</f>
        <v>Damage Assessments for Post-earthquake reconstruction in Chile</v>
      </c>
      <c r="D5" s="688"/>
      <c r="E5" s="688"/>
      <c r="F5" s="688"/>
      <c r="G5" s="689"/>
      <c r="H5" s="685" t="str">
        <f>IF(C5=Languages!$I$173, Languages!$N$173,IF(C5=Languages!$I$174, Languages!$N$174,IF(C5=Languages!$I$175, Languages!$N$175,"")))</f>
        <v>Temuco, Chile</v>
      </c>
      <c r="I5" s="686"/>
      <c r="J5" s="687"/>
      <c r="L5" s="88"/>
      <c r="M5" s="88"/>
      <c r="N5" s="88"/>
      <c r="O5" s="2"/>
      <c r="U5"/>
    </row>
    <row r="6" spans="2:21" s="4" customFormat="1" ht="33" customHeight="1">
      <c r="B6" s="252" t="s">
        <v>1235</v>
      </c>
      <c r="C6" s="688" t="str">
        <f>Languages!I175</f>
        <v>Damage Assessments for Post-hurricane Reconstruction</v>
      </c>
      <c r="D6" s="688"/>
      <c r="E6" s="688"/>
      <c r="F6" s="688"/>
      <c r="G6" s="689"/>
      <c r="H6" s="685" t="str">
        <f>IF(C6=Languages!$I$173, Languages!$N$173,IF(C6=Languages!$I$174, Languages!$N$174,IF(C6=Languages!$I$175, Languages!$N$175,"")))</f>
        <v>Maritime Provinces, Canada</v>
      </c>
      <c r="I6" s="686"/>
      <c r="J6" s="687"/>
      <c r="L6" s="88"/>
      <c r="M6" s="88"/>
      <c r="N6" s="88"/>
      <c r="O6" s="2"/>
      <c r="U6"/>
    </row>
    <row r="7" spans="2:21" s="4" customFormat="1" ht="26" customHeight="1">
      <c r="B7" s="249"/>
      <c r="C7" s="692" t="str">
        <f>Languages!N176</f>
        <v>Information on main asset &amp; sub-assets</v>
      </c>
      <c r="D7" s="692"/>
      <c r="E7" s="692"/>
      <c r="F7" s="692"/>
      <c r="G7" s="692"/>
      <c r="H7" s="692"/>
      <c r="I7" s="692"/>
      <c r="J7" s="693"/>
      <c r="L7" s="88"/>
      <c r="M7" s="88"/>
      <c r="N7" s="88"/>
      <c r="O7" s="2"/>
      <c r="U7"/>
    </row>
    <row r="8" spans="2:21" s="4" customFormat="1" ht="26" customHeight="1">
      <c r="B8" s="249"/>
      <c r="C8" s="690" t="s">
        <v>1936</v>
      </c>
      <c r="D8" s="690"/>
      <c r="E8" s="690"/>
      <c r="F8" s="690"/>
      <c r="G8" s="690"/>
      <c r="H8" s="690"/>
      <c r="I8" s="690"/>
      <c r="J8" s="691"/>
      <c r="L8" s="88"/>
      <c r="M8" s="88"/>
      <c r="N8" s="88"/>
      <c r="O8" s="2"/>
      <c r="U8"/>
    </row>
    <row r="9" spans="2:21" s="4" customFormat="1" ht="38" customHeight="1">
      <c r="B9" s="682" t="s">
        <v>94</v>
      </c>
      <c r="C9" s="683"/>
      <c r="D9" s="683"/>
      <c r="E9" s="683"/>
      <c r="F9" s="683"/>
      <c r="G9" s="683"/>
      <c r="H9" s="683"/>
      <c r="I9" s="683"/>
      <c r="J9" s="684"/>
      <c r="L9" s="17"/>
      <c r="M9" s="245"/>
      <c r="N9" s="88"/>
      <c r="O9" s="2"/>
    </row>
    <row r="10" spans="2:21" ht="48" customHeight="1">
      <c r="B10" s="694" t="s">
        <v>1785</v>
      </c>
      <c r="C10" s="695"/>
      <c r="D10" s="695"/>
      <c r="E10" s="695"/>
      <c r="F10" s="696"/>
      <c r="G10" s="669" t="s">
        <v>2249</v>
      </c>
      <c r="H10" s="670"/>
      <c r="I10" s="670"/>
      <c r="J10" s="671"/>
      <c r="M10" s="17"/>
      <c r="R10" s="4"/>
      <c r="S10" s="4"/>
      <c r="T10" s="4"/>
    </row>
    <row r="11" spans="2:21" ht="26" customHeight="1">
      <c r="B11" s="639"/>
      <c r="C11" s="640"/>
      <c r="D11" s="653" t="str">
        <f>Languages!$M$180</f>
        <v>Causal Factors</v>
      </c>
      <c r="E11" s="653"/>
      <c r="F11" s="643" t="str">
        <f>Languages!$N$180</f>
        <v>Potential effects</v>
      </c>
      <c r="G11" s="643"/>
      <c r="H11" s="643"/>
      <c r="I11" s="644" t="str">
        <f>Languages!E187</f>
        <v>Comments</v>
      </c>
      <c r="J11" s="645"/>
      <c r="M11" s="2"/>
      <c r="R11" s="4"/>
      <c r="S11" s="4"/>
      <c r="T11" s="4"/>
    </row>
    <row r="12" spans="2:21" ht="41" customHeight="1">
      <c r="B12" s="641" t="str">
        <f>Languages!E181</f>
        <v>Climate Change impacts</v>
      </c>
      <c r="C12" s="642"/>
      <c r="D12" s="632"/>
      <c r="E12" s="633"/>
      <c r="F12" s="646" t="str">
        <f>IF(D$12=Languages!M182,Languages!N182,IF(D$12=Languages!M183,Languages!N183,IF(D$12=Languages!M184,Languages!N184,IF(D$12=Languages!M185,Languages!N185,IF(D$12=Languages!M186,Languages!N186,IF(D$12=Languages!M187,Languages!N187,IF(D$12=Languages!M188,Languages!N188,IF(D$12=Languages!M189,Languages!N189,""))))))))</f>
        <v/>
      </c>
      <c r="G12" s="647"/>
      <c r="H12" s="647"/>
      <c r="I12" s="647"/>
      <c r="J12" s="648"/>
      <c r="M12" s="2"/>
      <c r="R12" s="4"/>
      <c r="S12" s="4"/>
      <c r="T12" s="4"/>
    </row>
    <row r="13" spans="2:21" ht="41" customHeight="1">
      <c r="B13" s="641" t="str">
        <f>Languages!E183</f>
        <v>Earthquake damage</v>
      </c>
      <c r="C13" s="642"/>
      <c r="D13" s="649" t="str">
        <f>Languages!N189</f>
        <v>Fire &amp; smoke damage to buildings and contents</v>
      </c>
      <c r="E13" s="650"/>
      <c r="F13" s="672"/>
      <c r="G13" s="673"/>
      <c r="H13" s="673"/>
      <c r="I13" s="673"/>
      <c r="J13" s="674"/>
      <c r="M13" s="2"/>
      <c r="R13" s="4"/>
      <c r="S13" s="4"/>
      <c r="T13" s="4"/>
    </row>
    <row r="14" spans="2:21" ht="39" customHeight="1">
      <c r="B14" s="641" t="str">
        <f>Languages!E182</f>
        <v xml:space="preserve">Damage by military action </v>
      </c>
      <c r="C14" s="642"/>
      <c r="D14" s="649" t="str">
        <f>Languages!N192</f>
        <v>Blast damage to structures, building envelope or contents; Spread of shell fragments, debris and medical waste; Contamination of water bodies or topsoil</v>
      </c>
      <c r="E14" s="650"/>
      <c r="F14" s="650"/>
      <c r="G14" s="650"/>
      <c r="H14" s="650"/>
      <c r="I14" s="651"/>
      <c r="J14" s="652"/>
      <c r="M14" s="2"/>
      <c r="R14" s="4"/>
      <c r="S14" s="4"/>
      <c r="T14" s="4"/>
    </row>
    <row r="15" spans="2:21" ht="44" customHeight="1">
      <c r="B15" s="622" t="str">
        <f>Languages!E184</f>
        <v>Select language for basic text</v>
      </c>
      <c r="C15" s="623"/>
      <c r="D15" s="624" t="s">
        <v>83</v>
      </c>
      <c r="E15" s="625"/>
      <c r="F15" s="634"/>
      <c r="G15" s="635"/>
      <c r="H15" s="636"/>
      <c r="I15" s="637"/>
      <c r="J15" s="638"/>
      <c r="M15" s="2"/>
      <c r="R15" s="4"/>
      <c r="S15" s="4"/>
      <c r="T15" s="4"/>
    </row>
    <row r="16" spans="2:21" ht="31" customHeight="1">
      <c r="B16" s="654"/>
      <c r="C16" s="662" t="s">
        <v>1181</v>
      </c>
      <c r="D16" s="663"/>
      <c r="E16" s="657" t="s">
        <v>1134</v>
      </c>
      <c r="F16" s="657"/>
      <c r="G16" s="657"/>
      <c r="H16" s="657" t="s">
        <v>1136</v>
      </c>
      <c r="I16" s="657"/>
      <c r="J16" s="666"/>
      <c r="L16" s="88"/>
      <c r="M16" s="88"/>
      <c r="N16" s="88"/>
      <c r="O16" s="2"/>
      <c r="P16" s="4"/>
      <c r="Q16" s="4"/>
      <c r="R16" s="4"/>
      <c r="S16" s="4"/>
      <c r="T16" s="4"/>
    </row>
    <row r="17" spans="2:20" ht="32" customHeight="1">
      <c r="B17" s="655"/>
      <c r="C17" s="660" t="s">
        <v>1189</v>
      </c>
      <c r="D17" s="661"/>
      <c r="E17" s="667" t="s">
        <v>1135</v>
      </c>
      <c r="F17" s="667"/>
      <c r="G17" s="667"/>
      <c r="H17" s="667" t="s">
        <v>1137</v>
      </c>
      <c r="I17" s="667"/>
      <c r="J17" s="668"/>
      <c r="L17" s="88"/>
      <c r="M17" s="88"/>
      <c r="N17" s="88"/>
      <c r="O17" s="2"/>
      <c r="P17" s="4"/>
      <c r="Q17" s="4"/>
      <c r="R17" s="4"/>
      <c r="S17" s="4"/>
      <c r="T17" s="4"/>
    </row>
    <row r="18" spans="2:20" ht="32" customHeight="1" thickBot="1">
      <c r="B18" s="656"/>
      <c r="C18" s="658" t="s">
        <v>2110</v>
      </c>
      <c r="D18" s="659"/>
      <c r="E18" s="664" t="s">
        <v>1188</v>
      </c>
      <c r="F18" s="664"/>
      <c r="G18" s="664"/>
      <c r="H18" s="664"/>
      <c r="I18" s="664"/>
      <c r="J18" s="665"/>
      <c r="L18" s="88"/>
      <c r="M18" s="88"/>
      <c r="N18" s="88"/>
      <c r="O18" s="2"/>
      <c r="P18" s="4"/>
      <c r="Q18" s="4"/>
      <c r="R18" s="4"/>
      <c r="S18" s="4"/>
      <c r="T18" s="4"/>
    </row>
  </sheetData>
  <mergeCells count="42">
    <mergeCell ref="G10:J10"/>
    <mergeCell ref="F13:J13"/>
    <mergeCell ref="I1:J1"/>
    <mergeCell ref="B2:I2"/>
    <mergeCell ref="B3:G3"/>
    <mergeCell ref="H3:J3"/>
    <mergeCell ref="B9:J9"/>
    <mergeCell ref="H6:J6"/>
    <mergeCell ref="H5:J5"/>
    <mergeCell ref="H4:J4"/>
    <mergeCell ref="C6:G6"/>
    <mergeCell ref="C5:G5"/>
    <mergeCell ref="C4:G4"/>
    <mergeCell ref="C8:J8"/>
    <mergeCell ref="C7:J7"/>
    <mergeCell ref="B10:F10"/>
    <mergeCell ref="H18:J18"/>
    <mergeCell ref="H16:J16"/>
    <mergeCell ref="E18:G18"/>
    <mergeCell ref="E17:G17"/>
    <mergeCell ref="H17:J17"/>
    <mergeCell ref="B16:B18"/>
    <mergeCell ref="E16:G16"/>
    <mergeCell ref="C18:D18"/>
    <mergeCell ref="C17:D17"/>
    <mergeCell ref="C16:D16"/>
    <mergeCell ref="B15:C15"/>
    <mergeCell ref="D15:E15"/>
    <mergeCell ref="L2:N3"/>
    <mergeCell ref="D12:E12"/>
    <mergeCell ref="F15:H15"/>
    <mergeCell ref="I15:J15"/>
    <mergeCell ref="B11:C11"/>
    <mergeCell ref="B14:C14"/>
    <mergeCell ref="F11:H11"/>
    <mergeCell ref="I11:J11"/>
    <mergeCell ref="F12:J12"/>
    <mergeCell ref="D14:J14"/>
    <mergeCell ref="D11:E11"/>
    <mergeCell ref="B12:C12"/>
    <mergeCell ref="B13:C13"/>
    <mergeCell ref="D13:E13"/>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Languages!$O$181:$O$188</xm:f>
          </x14:formula1>
          <xm:sqref>D15:E18</xm:sqref>
        </x14:dataValidation>
        <x14:dataValidation type="list" allowBlank="1" showInputMessage="1" showErrorMessage="1" xr:uid="{304CE07D-6EA4-3146-A979-DEDD456B6FD6}">
          <x14:formula1>
            <xm:f>Languages!$I$172:$I$175</xm:f>
          </x14:formula1>
          <xm:sqref>B9:J9</xm:sqref>
        </x14:dataValidation>
        <x14:dataValidation type="list" allowBlank="1" showInputMessage="1" showErrorMessage="1" xr:uid="{00000000-0002-0000-0000-000002000000}">
          <x14:formula1>
            <xm:f>Languages!$M$181:M$189</xm:f>
          </x14:formula1>
          <xm:sqref>D12:E12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EE50-241F-8244-8754-C5CBC1B86CAB}">
  <dimension ref="B1:D34"/>
  <sheetViews>
    <sheetView workbookViewId="0">
      <selection activeCell="B2" sqref="B2:D2"/>
    </sheetView>
  </sheetViews>
  <sheetFormatPr baseColWidth="10" defaultRowHeight="22" customHeight="1"/>
  <cols>
    <col min="1" max="1" width="4.6640625" style="280" customWidth="1"/>
    <col min="2" max="2" width="37.83203125" style="280" customWidth="1"/>
    <col min="3" max="3" width="4" style="280" customWidth="1"/>
    <col min="4" max="4" width="37.83203125" style="280" customWidth="1"/>
    <col min="5" max="16384" width="10.83203125" style="280"/>
  </cols>
  <sheetData>
    <row r="1" spans="2:4" ht="16" customHeight="1">
      <c r="D1" s="282">
        <v>44946</v>
      </c>
    </row>
    <row r="2" spans="2:4" ht="42" customHeight="1">
      <c r="B2" s="706" t="s">
        <v>2029</v>
      </c>
      <c r="C2" s="706"/>
      <c r="D2" s="706"/>
    </row>
    <row r="3" spans="2:4" ht="27" customHeight="1">
      <c r="B3" s="707" t="s">
        <v>2030</v>
      </c>
      <c r="D3" s="283" t="s">
        <v>2025</v>
      </c>
    </row>
    <row r="4" spans="2:4" ht="23" customHeight="1">
      <c r="B4" s="707"/>
      <c r="D4" s="608" t="s">
        <v>2033</v>
      </c>
    </row>
    <row r="5" spans="2:4" ht="22" customHeight="1">
      <c r="B5" s="608" t="s">
        <v>2031</v>
      </c>
      <c r="D5" s="608"/>
    </row>
    <row r="6" spans="2:4" ht="22" customHeight="1">
      <c r="B6" s="608"/>
      <c r="D6" s="608"/>
    </row>
    <row r="7" spans="2:4" ht="22" customHeight="1">
      <c r="B7" s="608"/>
      <c r="D7" s="608"/>
    </row>
    <row r="8" spans="2:4" ht="22" customHeight="1">
      <c r="B8" s="608"/>
      <c r="D8" s="608"/>
    </row>
    <row r="9" spans="2:4" ht="22" customHeight="1">
      <c r="B9" s="608"/>
      <c r="D9" s="608"/>
    </row>
    <row r="10" spans="2:4" ht="22" customHeight="1">
      <c r="B10" s="608"/>
      <c r="D10" s="608"/>
    </row>
    <row r="11" spans="2:4" ht="22" customHeight="1">
      <c r="B11" s="608"/>
      <c r="D11" s="608"/>
    </row>
    <row r="12" spans="2:4" ht="22" customHeight="1">
      <c r="B12" s="608"/>
      <c r="D12" s="608"/>
    </row>
    <row r="13" spans="2:4" ht="22" customHeight="1">
      <c r="B13" s="608"/>
      <c r="D13" s="608"/>
    </row>
    <row r="14" spans="2:4" ht="22" customHeight="1">
      <c r="B14" s="608"/>
      <c r="D14" s="608"/>
    </row>
    <row r="15" spans="2:4" ht="22" customHeight="1">
      <c r="B15" s="608"/>
      <c r="D15" s="608"/>
    </row>
    <row r="16" spans="2:4" ht="22" customHeight="1">
      <c r="B16" s="608"/>
      <c r="D16" s="608"/>
    </row>
    <row r="17" spans="2:4" ht="22" customHeight="1">
      <c r="B17" s="608"/>
      <c r="D17" s="608"/>
    </row>
    <row r="18" spans="2:4" ht="22" customHeight="1">
      <c r="B18" s="608"/>
      <c r="D18" s="608"/>
    </row>
    <row r="19" spans="2:4" ht="20" customHeight="1">
      <c r="B19" s="608"/>
      <c r="D19" s="608"/>
    </row>
    <row r="20" spans="2:4" ht="22" customHeight="1">
      <c r="B20" s="608"/>
      <c r="C20" s="285"/>
      <c r="D20" s="608"/>
    </row>
    <row r="21" spans="2:4" ht="22" customHeight="1">
      <c r="B21" s="608"/>
      <c r="C21" s="285"/>
      <c r="D21" s="608"/>
    </row>
    <row r="22" spans="2:4" ht="22" customHeight="1">
      <c r="B22" s="608"/>
      <c r="C22" s="285"/>
      <c r="D22" s="608"/>
    </row>
    <row r="23" spans="2:4" ht="22" customHeight="1">
      <c r="B23" s="608"/>
      <c r="C23" s="285"/>
      <c r="D23" s="608"/>
    </row>
    <row r="24" spans="2:4" ht="22" customHeight="1">
      <c r="B24" s="608"/>
      <c r="C24" s="285"/>
      <c r="D24" s="608"/>
    </row>
    <row r="25" spans="2:4" ht="22" customHeight="1">
      <c r="B25" s="608"/>
      <c r="C25" s="285"/>
      <c r="D25" s="608"/>
    </row>
    <row r="26" spans="2:4" ht="22" customHeight="1">
      <c r="B26" s="608"/>
      <c r="D26" s="608"/>
    </row>
    <row r="27" spans="2:4" ht="22" customHeight="1">
      <c r="B27" s="608"/>
      <c r="D27" s="608"/>
    </row>
    <row r="28" spans="2:4" ht="22" customHeight="1">
      <c r="B28" s="608"/>
      <c r="D28" s="608"/>
    </row>
    <row r="29" spans="2:4" ht="14" customHeight="1" thickBot="1">
      <c r="B29" s="608"/>
      <c r="D29" s="608"/>
    </row>
    <row r="30" spans="2:4" ht="22" customHeight="1">
      <c r="B30" s="697" t="s">
        <v>2032</v>
      </c>
      <c r="C30" s="698"/>
      <c r="D30" s="699"/>
    </row>
    <row r="31" spans="2:4" ht="22" customHeight="1">
      <c r="B31" s="700"/>
      <c r="C31" s="701"/>
      <c r="D31" s="702"/>
    </row>
    <row r="32" spans="2:4" ht="22" customHeight="1">
      <c r="B32" s="700"/>
      <c r="C32" s="701"/>
      <c r="D32" s="702"/>
    </row>
    <row r="33" spans="2:4" ht="22" customHeight="1">
      <c r="B33" s="700"/>
      <c r="C33" s="701"/>
      <c r="D33" s="702"/>
    </row>
    <row r="34" spans="2:4" ht="26" customHeight="1" thickBot="1">
      <c r="B34" s="703"/>
      <c r="C34" s="704"/>
      <c r="D34" s="705"/>
    </row>
  </sheetData>
  <mergeCells count="5">
    <mergeCell ref="B5:B29"/>
    <mergeCell ref="D4:D29"/>
    <mergeCell ref="B30:D34"/>
    <mergeCell ref="B2:D2"/>
    <mergeCell ref="B3:B4"/>
  </mergeCells>
  <printOptions horizontalCentered="1" verticalCentered="1"/>
  <pageMargins left="0.70866141732283472" right="0.70866141732283472" top="0.74803149606299213" bottom="0.74803149606299213" header="0.31496062992125984" footer="0.31496062992125984"/>
  <pageSetup paperSize="9" orientation="portrait" horizontalDpi="0" verticalDpi="0"/>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92DE-3149-F74E-AF45-BA4ED4875142}">
  <sheetPr codeName="Sheet3"/>
  <dimension ref="B1:AF553"/>
  <sheetViews>
    <sheetView zoomScaleNormal="100" workbookViewId="0">
      <selection activeCell="O8" sqref="O8"/>
    </sheetView>
  </sheetViews>
  <sheetFormatPr baseColWidth="10" defaultColWidth="10.83203125" defaultRowHeight="16" outlineLevelRow="1"/>
  <cols>
    <col min="1" max="1" width="1.83203125" customWidth="1"/>
    <col min="2" max="2" width="1" customWidth="1"/>
    <col min="3" max="3" width="15" customWidth="1"/>
    <col min="4" max="4" width="16.83203125" style="2" customWidth="1"/>
    <col min="5" max="5" width="7.33203125" style="5" customWidth="1"/>
    <col min="6" max="6" width="4.33203125" style="7" customWidth="1"/>
    <col min="7" max="7" width="15.5" style="15" customWidth="1"/>
    <col min="8" max="8" width="16.5" style="5" customWidth="1"/>
    <col min="9" max="9" width="16.1640625" style="5" customWidth="1"/>
    <col min="10" max="10" width="14.33203125" customWidth="1"/>
    <col min="11" max="11" width="5.33203125" customWidth="1"/>
    <col min="12" max="12" width="8.83203125" style="4" customWidth="1"/>
    <col min="13" max="13" width="6.6640625" style="2" customWidth="1"/>
    <col min="14" max="14" width="5.1640625" customWidth="1"/>
    <col min="15" max="15" width="33.1640625" style="2" customWidth="1"/>
    <col min="16" max="16" width="4.83203125" style="4" customWidth="1"/>
    <col min="17" max="17" width="17.6640625" style="10" customWidth="1"/>
    <col min="18" max="18" width="26.83203125" style="4" customWidth="1"/>
    <col min="19" max="19" width="32.33203125" style="4" customWidth="1"/>
    <col min="20" max="20" width="15.33203125" style="4" customWidth="1"/>
    <col min="24" max="24" width="16.5" customWidth="1"/>
  </cols>
  <sheetData>
    <row r="1" spans="2:32" ht="19" customHeight="1" thickBot="1">
      <c r="C1" s="564" t="s">
        <v>2259</v>
      </c>
      <c r="F1"/>
      <c r="G1" s="29"/>
    </row>
    <row r="2" spans="2:32" ht="24" customHeight="1" thickBot="1">
      <c r="B2" s="765" t="str">
        <f>Settings!$B$9</f>
        <v>Damage Assessments for Sustainable Reconstruction in Ukraine</v>
      </c>
      <c r="C2" s="766"/>
      <c r="D2" s="766"/>
      <c r="E2" s="766"/>
      <c r="F2" s="766"/>
      <c r="G2" s="766"/>
      <c r="H2" s="766"/>
      <c r="I2" s="784" t="str">
        <f>Settings!G10</f>
        <v>Irpin Urban Area</v>
      </c>
      <c r="J2" s="785"/>
      <c r="K2" s="786"/>
      <c r="L2" s="160" t="s">
        <v>2209</v>
      </c>
      <c r="M2" s="157" t="str">
        <f>"1"</f>
        <v>1</v>
      </c>
      <c r="O2" s="899" t="s">
        <v>2020</v>
      </c>
      <c r="P2"/>
      <c r="Q2"/>
      <c r="R2" s="2"/>
      <c r="S2"/>
      <c r="T2"/>
      <c r="U2" s="4"/>
      <c r="V2" s="4"/>
      <c r="W2" s="4"/>
    </row>
    <row r="3" spans="2:32" ht="30" customHeight="1">
      <c r="B3" s="876" t="str">
        <f>Languages!$P$173</f>
        <v>All urban asset types</v>
      </c>
      <c r="C3" s="877"/>
      <c r="D3" s="877"/>
      <c r="E3" s="877"/>
      <c r="F3" s="877"/>
      <c r="G3" s="877"/>
      <c r="H3" s="877"/>
      <c r="I3" s="179"/>
      <c r="J3" s="800" t="str">
        <f>Languages!$K$177</f>
        <v>Approx. repair costs, priority 4 &amp; 5 assets, m. Euro</v>
      </c>
      <c r="K3" s="801"/>
      <c r="L3" s="261">
        <f>(L9+L30+52+L75+L96+L119+L142+L166+L190+L214+L238+L262+L286+L310+L334+L358+L382+L406+L430+L454+L478+L502)</f>
        <v>166517.97171000001</v>
      </c>
      <c r="M3" s="258" t="s">
        <v>1967</v>
      </c>
      <c r="O3" s="900"/>
      <c r="P3"/>
      <c r="Q3"/>
      <c r="R3" s="2"/>
      <c r="S3"/>
      <c r="T3"/>
      <c r="U3" s="4"/>
      <c r="V3" s="4"/>
      <c r="W3" s="4"/>
    </row>
    <row r="4" spans="2:32" ht="30" customHeight="1" thickBot="1">
      <c r="B4" s="878"/>
      <c r="C4" s="879"/>
      <c r="D4" s="879"/>
      <c r="E4" s="879"/>
      <c r="F4" s="879"/>
      <c r="G4" s="879"/>
      <c r="H4" s="879"/>
      <c r="I4" s="262"/>
      <c r="J4" s="800" t="str">
        <f>Languages!$K$176</f>
        <v>Approx. total repair costs, m. Euro</v>
      </c>
      <c r="K4" s="801"/>
      <c r="L4" s="261">
        <f>(L10+L31+52+L76+L97+L120+L143+L167+L191+L215+L239+L263+L287+L311+L335+L359+L383+L407+L431+L455+L479+L503)</f>
        <v>208530.97171000001</v>
      </c>
      <c r="M4" s="258" t="s">
        <v>1967</v>
      </c>
      <c r="O4" s="900"/>
      <c r="P4"/>
      <c r="Q4"/>
      <c r="R4" s="2"/>
      <c r="T4" s="10"/>
      <c r="U4" s="4"/>
      <c r="V4" s="4"/>
      <c r="W4" s="4"/>
    </row>
    <row r="5" spans="2:32" s="14" customFormat="1" ht="10" hidden="1" customHeight="1" outlineLevel="1">
      <c r="B5" s="175"/>
      <c r="C5" s="177"/>
      <c r="D5" s="177"/>
      <c r="E5" s="177"/>
      <c r="H5" s="177"/>
      <c r="J5" s="4"/>
      <c r="K5" s="174"/>
      <c r="L5" s="174"/>
      <c r="M5" s="176"/>
      <c r="O5"/>
      <c r="Q5" s="154"/>
      <c r="R5"/>
      <c r="S5"/>
      <c r="T5"/>
    </row>
    <row r="6" spans="2:32" s="14" customFormat="1" ht="192" hidden="1" customHeight="1" outlineLevel="1" thickBot="1">
      <c r="B6" s="192"/>
      <c r="C6" s="897" t="str">
        <f>Languages!$P$171</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D6" s="897"/>
      <c r="E6" s="897"/>
      <c r="F6" s="897"/>
      <c r="G6" s="897"/>
      <c r="H6" s="897"/>
      <c r="I6" s="897" t="s">
        <v>2069</v>
      </c>
      <c r="J6" s="897"/>
      <c r="K6" s="897"/>
      <c r="L6" s="897"/>
      <c r="M6" s="898"/>
      <c r="N6"/>
      <c r="O6"/>
      <c r="P6"/>
      <c r="Q6"/>
      <c r="R6" s="2"/>
      <c r="S6"/>
      <c r="T6"/>
    </row>
    <row r="7" spans="2:32" ht="15" customHeight="1" collapsed="1" thickBot="1">
      <c r="B7" s="163" t="s">
        <v>46</v>
      </c>
      <c r="C7" s="163"/>
      <c r="D7" s="163"/>
      <c r="E7" s="163"/>
      <c r="F7" s="163"/>
      <c r="G7" s="165"/>
      <c r="H7" s="12"/>
      <c r="I7" s="12"/>
      <c r="J7" s="12"/>
      <c r="K7" s="12"/>
      <c r="L7" s="366"/>
      <c r="M7" s="366"/>
      <c r="O7"/>
      <c r="P7"/>
      <c r="Q7"/>
      <c r="R7" s="2"/>
      <c r="T7" s="10"/>
      <c r="U7" s="4"/>
      <c r="V7" s="4"/>
      <c r="W7" s="4"/>
    </row>
    <row r="8" spans="2:32" ht="28" customHeight="1" thickBot="1">
      <c r="B8" s="765" t="str">
        <f>B$2</f>
        <v>Damage Assessments for Sustainable Reconstruction in Ukraine</v>
      </c>
      <c r="C8" s="766"/>
      <c r="D8" s="766"/>
      <c r="E8" s="766"/>
      <c r="F8" s="766"/>
      <c r="G8" s="766"/>
      <c r="H8" s="766"/>
      <c r="I8" s="784" t="str">
        <f>I$2</f>
        <v>Irpin Urban Area</v>
      </c>
      <c r="J8" s="785"/>
      <c r="K8" s="786"/>
      <c r="L8" s="166" t="str">
        <f>L$2</f>
        <v>27Jan23</v>
      </c>
      <c r="M8" s="164" t="str">
        <f>"2"</f>
        <v>2</v>
      </c>
      <c r="P8"/>
      <c r="Q8" s="2"/>
      <c r="R8"/>
      <c r="S8" s="2"/>
      <c r="T8"/>
      <c r="V8" s="4"/>
      <c r="W8" s="4"/>
      <c r="X8" s="4"/>
    </row>
    <row r="9" spans="2:32" ht="27" customHeight="1">
      <c r="B9" s="938" t="str">
        <f>Languages!$C$184&amp;" 1"</f>
        <v>Soil and site 1</v>
      </c>
      <c r="C9" s="939"/>
      <c r="D9" s="787" t="str">
        <f>Languages!$N$176</f>
        <v>Information on main asset &amp; sub-assets</v>
      </c>
      <c r="E9" s="788" t="str">
        <f>Languages!$I$188</f>
        <v>Area and/or quantity assessed</v>
      </c>
      <c r="F9" s="789"/>
      <c r="G9" s="871" t="str">
        <f>Languages!$M$194</f>
        <v>Enter info on type and area / quantity of assets, type and extent of damage.</v>
      </c>
      <c r="H9" s="872"/>
      <c r="I9" s="796" t="s">
        <v>2118</v>
      </c>
      <c r="J9" s="798" t="str">
        <f>Languages!$K$177</f>
        <v>Approx. repair costs, priority 4 &amp; 5 assets, m. Euro</v>
      </c>
      <c r="K9" s="799"/>
      <c r="L9" s="604">
        <f>IF(K12&gt;3,$L12)</f>
        <v>0.17171</v>
      </c>
      <c r="M9" s="368" t="s">
        <v>1966</v>
      </c>
      <c r="P9"/>
      <c r="Q9" s="2"/>
      <c r="R9"/>
      <c r="S9" s="2"/>
      <c r="T9"/>
      <c r="V9" s="4"/>
      <c r="W9" s="4"/>
      <c r="X9" s="4"/>
    </row>
    <row r="10" spans="2:32" ht="27" customHeight="1" thickBot="1">
      <c r="B10" s="940"/>
      <c r="C10" s="941"/>
      <c r="D10" s="768"/>
      <c r="E10" s="790"/>
      <c r="F10" s="791"/>
      <c r="G10" s="873"/>
      <c r="H10" s="874"/>
      <c r="I10" s="797"/>
      <c r="J10" s="852" t="str">
        <f>Languages!$K$176</f>
        <v>Approx. total repair costs, m. Euro</v>
      </c>
      <c r="K10" s="853"/>
      <c r="L10" s="600">
        <f>L12</f>
        <v>0.17171</v>
      </c>
      <c r="M10" s="369" t="s">
        <v>1966</v>
      </c>
      <c r="P10"/>
      <c r="Q10" s="2"/>
      <c r="R10"/>
      <c r="S10" s="2"/>
      <c r="U10" s="10"/>
      <c r="V10" s="4"/>
      <c r="W10" s="4"/>
      <c r="X10" s="4"/>
    </row>
    <row r="11" spans="2:32" ht="25" customHeight="1">
      <c r="B11" s="940"/>
      <c r="C11" s="941"/>
      <c r="D11" s="768"/>
      <c r="E11" s="802" t="s">
        <v>1546</v>
      </c>
      <c r="F11" s="769" t="str">
        <f>Languages!$N$178</f>
        <v>Unit type</v>
      </c>
      <c r="G11" s="895" t="s">
        <v>2206</v>
      </c>
      <c r="H11" s="767" t="s">
        <v>2251</v>
      </c>
      <c r="I11" s="331" t="s">
        <v>2117</v>
      </c>
      <c r="J11" s="474" t="str">
        <f>Languages!$K$178</f>
        <v>Actions</v>
      </c>
      <c r="K11" s="602" t="str">
        <f>"Avg priority"</f>
        <v>Avg priority</v>
      </c>
      <c r="L11" s="546" t="s">
        <v>2214</v>
      </c>
      <c r="M11" s="713" t="s">
        <v>2263</v>
      </c>
      <c r="P11"/>
      <c r="Q11" s="2"/>
      <c r="R11"/>
      <c r="S11" s="2"/>
      <c r="U11" s="10"/>
      <c r="V11" s="4"/>
      <c r="W11" s="4"/>
      <c r="X11" s="4"/>
    </row>
    <row r="12" spans="2:32" s="4" customFormat="1" ht="25" customHeight="1" thickBot="1">
      <c r="B12" s="940"/>
      <c r="C12" s="941"/>
      <c r="D12" s="768"/>
      <c r="E12" s="803"/>
      <c r="F12" s="770"/>
      <c r="G12" s="896"/>
      <c r="H12" s="768"/>
      <c r="I12" s="330" t="str">
        <f>Languages!$E$190</f>
        <v>Social Impact level</v>
      </c>
      <c r="J12" s="601" t="str">
        <f>Languages!$K$185</f>
        <v>Action required</v>
      </c>
      <c r="K12" s="603">
        <f>SUM(K13:K27)/15</f>
        <v>3.3333333333333335</v>
      </c>
      <c r="L12" s="595">
        <f>SUM(L13:L27)/1000000</f>
        <v>0.17171</v>
      </c>
      <c r="M12" s="714"/>
      <c r="N12"/>
      <c r="P12"/>
      <c r="R12"/>
      <c r="S12" s="2"/>
      <c r="U12" s="10"/>
      <c r="Y12"/>
      <c r="Z12"/>
      <c r="AA12"/>
      <c r="AB12"/>
      <c r="AC12"/>
      <c r="AD12"/>
      <c r="AE12"/>
      <c r="AF12"/>
    </row>
    <row r="13" spans="2:32" ht="26" customHeight="1">
      <c r="B13" s="739" t="str">
        <f>Languages!C$203</f>
        <v>Surface debris or flood</v>
      </c>
      <c r="C13" s="740"/>
      <c r="D13" s="553" t="s">
        <v>2178</v>
      </c>
      <c r="E13" s="860">
        <v>1</v>
      </c>
      <c r="F13" s="820"/>
      <c r="G13" s="531" t="s">
        <v>1451</v>
      </c>
      <c r="H13" s="532" t="s">
        <v>2123</v>
      </c>
      <c r="I13" s="533" t="s">
        <v>2103</v>
      </c>
      <c r="J13" s="444" t="s">
        <v>2267</v>
      </c>
      <c r="K13" s="322">
        <v>4</v>
      </c>
      <c r="L13" s="591">
        <f t="shared" ref="L13" si="0">E$13*E$15*M13</f>
        <v>2200</v>
      </c>
      <c r="M13" s="592">
        <v>100</v>
      </c>
      <c r="P13"/>
      <c r="Q13" s="2"/>
      <c r="R13"/>
      <c r="S13"/>
      <c r="T13"/>
    </row>
    <row r="14" spans="2:32" ht="26" customHeight="1" thickBot="1">
      <c r="B14" s="741"/>
      <c r="C14" s="742"/>
      <c r="D14" s="569" t="s">
        <v>1770</v>
      </c>
      <c r="E14" s="759">
        <f>E13*E15</f>
        <v>22</v>
      </c>
      <c r="F14" s="760"/>
      <c r="G14" s="572" t="s">
        <v>2238</v>
      </c>
      <c r="H14" s="573" t="s">
        <v>2123</v>
      </c>
      <c r="I14" s="574" t="s">
        <v>2116</v>
      </c>
      <c r="J14" s="444" t="s">
        <v>2268</v>
      </c>
      <c r="K14" s="586">
        <v>5</v>
      </c>
      <c r="L14" s="383">
        <f>E$13*E$15*M14</f>
        <v>44000</v>
      </c>
      <c r="M14" s="593">
        <v>2000</v>
      </c>
      <c r="P14"/>
      <c r="Q14" s="2"/>
      <c r="R14"/>
      <c r="S14"/>
      <c r="T14"/>
    </row>
    <row r="15" spans="2:32" s="4" customFormat="1" ht="26" hidden="1" customHeight="1" outlineLevel="1">
      <c r="B15" s="745"/>
      <c r="C15" s="746"/>
      <c r="D15" s="554" t="s">
        <v>1771</v>
      </c>
      <c r="E15" s="552">
        <v>22</v>
      </c>
      <c r="F15" s="338" t="s">
        <v>1755</v>
      </c>
      <c r="G15" s="442" t="s">
        <v>2242</v>
      </c>
      <c r="H15" s="440" t="s">
        <v>2123</v>
      </c>
      <c r="I15" s="347" t="s">
        <v>2112</v>
      </c>
      <c r="J15" s="444" t="s">
        <v>2269</v>
      </c>
      <c r="K15" s="588">
        <v>4</v>
      </c>
      <c r="L15" s="383">
        <f t="shared" ref="L15:L17" si="1">E$13*E$15*M15</f>
        <v>4400</v>
      </c>
      <c r="M15" s="593">
        <v>200</v>
      </c>
      <c r="N15"/>
      <c r="P15"/>
      <c r="R15"/>
      <c r="S15" s="2"/>
      <c r="U15" s="10"/>
      <c r="Y15"/>
      <c r="Z15"/>
      <c r="AA15"/>
      <c r="AB15"/>
      <c r="AC15"/>
      <c r="AD15"/>
      <c r="AE15"/>
      <c r="AF15"/>
    </row>
    <row r="16" spans="2:32" s="4" customFormat="1" ht="26" hidden="1" customHeight="1" outlineLevel="1">
      <c r="B16" s="723" t="s">
        <v>1959</v>
      </c>
      <c r="C16" s="724"/>
      <c r="D16" s="725"/>
      <c r="E16" s="732"/>
      <c r="F16" s="733"/>
      <c r="G16" s="444"/>
      <c r="H16" s="439" t="s">
        <v>2123</v>
      </c>
      <c r="I16" s="347"/>
      <c r="J16" s="444"/>
      <c r="K16" s="586">
        <v>3</v>
      </c>
      <c r="L16" s="383">
        <f t="shared" si="1"/>
        <v>0</v>
      </c>
      <c r="M16" s="593">
        <v>0</v>
      </c>
      <c r="N16"/>
      <c r="O16" s="28"/>
      <c r="P16"/>
      <c r="Q16" s="2"/>
      <c r="R16"/>
      <c r="S16" s="2"/>
      <c r="U16" s="10"/>
      <c r="Y16"/>
      <c r="Z16"/>
      <c r="AA16"/>
      <c r="AB16"/>
      <c r="AC16"/>
      <c r="AD16"/>
      <c r="AE16"/>
      <c r="AF16"/>
    </row>
    <row r="17" spans="2:32" s="4" customFormat="1" ht="26" hidden="1" customHeight="1" outlineLevel="1" thickBot="1">
      <c r="B17" s="726"/>
      <c r="C17" s="727"/>
      <c r="D17" s="728"/>
      <c r="E17" s="828"/>
      <c r="F17" s="829"/>
      <c r="G17" s="444"/>
      <c r="H17" s="530" t="s">
        <v>2123</v>
      </c>
      <c r="I17" s="473"/>
      <c r="J17" s="444"/>
      <c r="K17" s="590">
        <v>3</v>
      </c>
      <c r="L17" s="544">
        <f t="shared" si="1"/>
        <v>0</v>
      </c>
      <c r="M17" s="594">
        <v>0</v>
      </c>
      <c r="N17"/>
      <c r="O17" s="28"/>
      <c r="P17"/>
      <c r="Q17" s="2"/>
      <c r="R17"/>
      <c r="S17" s="2"/>
      <c r="U17" s="10"/>
      <c r="Y17"/>
      <c r="Z17"/>
      <c r="AA17"/>
      <c r="AB17"/>
      <c r="AC17"/>
      <c r="AD17"/>
      <c r="AE17"/>
      <c r="AF17"/>
    </row>
    <row r="18" spans="2:32" ht="26" customHeight="1" collapsed="1">
      <c r="B18" s="739" t="str">
        <f>Languages!$C$204</f>
        <v xml:space="preserve">Top soil </v>
      </c>
      <c r="C18" s="740"/>
      <c r="D18" s="553" t="s">
        <v>2178</v>
      </c>
      <c r="E18" s="875">
        <v>1</v>
      </c>
      <c r="F18" s="820"/>
      <c r="G18" s="531" t="s">
        <v>2193</v>
      </c>
      <c r="H18" s="537" t="s">
        <v>2123</v>
      </c>
      <c r="I18" s="533" t="s">
        <v>2100</v>
      </c>
      <c r="J18" s="596" t="s">
        <v>2268</v>
      </c>
      <c r="K18" s="535">
        <v>4</v>
      </c>
      <c r="L18" s="598">
        <f>E$18*E$20*M18</f>
        <v>110000</v>
      </c>
      <c r="M18" s="592">
        <v>2000</v>
      </c>
      <c r="P18"/>
      <c r="Q18" s="2"/>
      <c r="R18"/>
      <c r="S18"/>
      <c r="T18"/>
    </row>
    <row r="19" spans="2:32" ht="26" customHeight="1" thickBot="1">
      <c r="B19" s="741"/>
      <c r="C19" s="742"/>
      <c r="D19" s="569" t="s">
        <v>2261</v>
      </c>
      <c r="E19" s="759">
        <f>E18*E20</f>
        <v>55</v>
      </c>
      <c r="F19" s="760"/>
      <c r="G19" s="572" t="s">
        <v>2202</v>
      </c>
      <c r="H19" s="575" t="s">
        <v>2124</v>
      </c>
      <c r="I19" s="574" t="s">
        <v>2115</v>
      </c>
      <c r="J19" s="444" t="s">
        <v>2269</v>
      </c>
      <c r="K19" s="586">
        <v>3</v>
      </c>
      <c r="L19" s="599">
        <f>E$18*E$20*M19</f>
        <v>11000</v>
      </c>
      <c r="M19" s="593">
        <v>200</v>
      </c>
      <c r="P19"/>
      <c r="Q19" s="2"/>
      <c r="R19"/>
      <c r="S19"/>
      <c r="T19"/>
    </row>
    <row r="20" spans="2:32" s="4" customFormat="1" ht="26" hidden="1" customHeight="1" outlineLevel="1">
      <c r="B20" s="745"/>
      <c r="C20" s="746"/>
      <c r="D20" s="554" t="s">
        <v>1771</v>
      </c>
      <c r="E20" s="552">
        <v>55</v>
      </c>
      <c r="F20" s="338" t="s">
        <v>1755</v>
      </c>
      <c r="G20" s="442" t="s">
        <v>2242</v>
      </c>
      <c r="H20" s="525" t="s">
        <v>2124</v>
      </c>
      <c r="I20" s="715" t="s">
        <v>2260</v>
      </c>
      <c r="J20" s="444"/>
      <c r="K20" s="588">
        <v>3</v>
      </c>
      <c r="L20" s="383">
        <f t="shared" ref="L20:L22" si="2">E$18*E$20*M20</f>
        <v>0</v>
      </c>
      <c r="M20" s="593">
        <v>0</v>
      </c>
      <c r="N20"/>
      <c r="P20"/>
      <c r="R20"/>
      <c r="S20" s="2"/>
      <c r="U20" s="10"/>
      <c r="Y20"/>
      <c r="Z20"/>
      <c r="AA20"/>
      <c r="AB20"/>
      <c r="AC20"/>
      <c r="AD20"/>
      <c r="AE20"/>
      <c r="AF20"/>
    </row>
    <row r="21" spans="2:32" s="4" customFormat="1" ht="26" hidden="1" customHeight="1" outlineLevel="1">
      <c r="B21" s="723" t="s">
        <v>1960</v>
      </c>
      <c r="C21" s="724"/>
      <c r="D21" s="725"/>
      <c r="E21" s="732"/>
      <c r="F21" s="733"/>
      <c r="G21" s="444"/>
      <c r="H21" s="439" t="s">
        <v>2123</v>
      </c>
      <c r="I21" s="716"/>
      <c r="J21" s="444"/>
      <c r="K21" s="586">
        <v>3</v>
      </c>
      <c r="L21" s="383">
        <f t="shared" si="2"/>
        <v>0</v>
      </c>
      <c r="M21" s="593">
        <v>0</v>
      </c>
      <c r="N21"/>
      <c r="O21" s="28"/>
      <c r="P21"/>
      <c r="Q21" s="2"/>
      <c r="R21"/>
      <c r="S21" s="2"/>
      <c r="U21" s="10"/>
      <c r="Y21"/>
      <c r="Z21"/>
      <c r="AA21"/>
      <c r="AB21"/>
      <c r="AC21"/>
      <c r="AD21"/>
      <c r="AE21"/>
      <c r="AF21"/>
    </row>
    <row r="22" spans="2:32" s="4" customFormat="1" ht="26" hidden="1" customHeight="1" outlineLevel="1" thickBot="1">
      <c r="B22" s="726"/>
      <c r="C22" s="727"/>
      <c r="D22" s="728"/>
      <c r="E22" s="828"/>
      <c r="F22" s="829"/>
      <c r="G22" s="444"/>
      <c r="H22" s="530" t="s">
        <v>2123</v>
      </c>
      <c r="I22" s="717"/>
      <c r="J22" s="444"/>
      <c r="K22" s="587">
        <v>3</v>
      </c>
      <c r="L22" s="383">
        <f t="shared" si="2"/>
        <v>0</v>
      </c>
      <c r="M22" s="593">
        <v>0</v>
      </c>
      <c r="N22"/>
      <c r="O22" s="28"/>
      <c r="P22"/>
      <c r="Q22" s="2"/>
      <c r="R22"/>
      <c r="S22" s="2"/>
      <c r="U22" s="10"/>
      <c r="Y22"/>
      <c r="Z22"/>
      <c r="AA22"/>
      <c r="AB22"/>
      <c r="AC22"/>
      <c r="AD22"/>
      <c r="AE22"/>
      <c r="AF22"/>
    </row>
    <row r="23" spans="2:32" s="4" customFormat="1" ht="26" customHeight="1" collapsed="1">
      <c r="B23" s="739" t="str">
        <f>Languages!$C$205</f>
        <v>Local atmosphere</v>
      </c>
      <c r="C23" s="740"/>
      <c r="D23" s="553" t="s">
        <v>2178</v>
      </c>
      <c r="E23" s="817">
        <v>1</v>
      </c>
      <c r="F23" s="818"/>
      <c r="G23" s="531" t="s">
        <v>2193</v>
      </c>
      <c r="H23" s="537" t="s">
        <v>2123</v>
      </c>
      <c r="I23" s="533" t="s">
        <v>2103</v>
      </c>
      <c r="J23" s="534" t="s">
        <v>2113</v>
      </c>
      <c r="K23" s="535">
        <v>3</v>
      </c>
      <c r="L23" s="589">
        <f>E$23*E$25*M23</f>
        <v>110</v>
      </c>
      <c r="M23" s="597">
        <v>0.1</v>
      </c>
      <c r="N23"/>
      <c r="P23"/>
      <c r="R23"/>
      <c r="S23" s="2"/>
      <c r="U23" s="10"/>
      <c r="Y23"/>
      <c r="Z23"/>
      <c r="AA23"/>
      <c r="AB23"/>
      <c r="AC23"/>
      <c r="AD23"/>
      <c r="AE23"/>
      <c r="AF23"/>
    </row>
    <row r="24" spans="2:32" s="4" customFormat="1" ht="26" customHeight="1" thickBot="1">
      <c r="B24" s="741"/>
      <c r="C24" s="742"/>
      <c r="D24" s="569" t="s">
        <v>1584</v>
      </c>
      <c r="E24" s="759">
        <f>E23*E25</f>
        <v>1100</v>
      </c>
      <c r="F24" s="760"/>
      <c r="G24" s="572" t="s">
        <v>109</v>
      </c>
      <c r="H24" s="575" t="s">
        <v>2123</v>
      </c>
      <c r="I24" s="574" t="s">
        <v>2116</v>
      </c>
      <c r="J24" s="341" t="s">
        <v>2113</v>
      </c>
      <c r="K24" s="586">
        <v>3</v>
      </c>
      <c r="L24" s="383">
        <f>E$23*E$25*M24</f>
        <v>0</v>
      </c>
      <c r="M24" s="593">
        <v>0</v>
      </c>
      <c r="N24"/>
      <c r="P24"/>
      <c r="R24"/>
      <c r="S24" s="2"/>
      <c r="U24" s="10"/>
      <c r="Y24"/>
      <c r="Z24"/>
      <c r="AA24"/>
      <c r="AB24"/>
      <c r="AC24"/>
      <c r="AD24"/>
      <c r="AE24"/>
      <c r="AF24"/>
    </row>
    <row r="25" spans="2:32" s="4" customFormat="1" ht="26" hidden="1" customHeight="1" outlineLevel="1">
      <c r="B25" s="745"/>
      <c r="C25" s="746"/>
      <c r="D25" s="554" t="s">
        <v>1772</v>
      </c>
      <c r="E25" s="552">
        <v>1100</v>
      </c>
      <c r="F25" s="338" t="s">
        <v>1583</v>
      </c>
      <c r="G25" s="526"/>
      <c r="H25" s="527"/>
      <c r="I25" s="347"/>
      <c r="J25" s="718" t="s">
        <v>2270</v>
      </c>
      <c r="K25" s="586">
        <v>3</v>
      </c>
      <c r="L25" s="383">
        <f t="shared" ref="L25:L27" si="3">E$23*E$25*M25</f>
        <v>0</v>
      </c>
      <c r="M25" s="593">
        <v>0</v>
      </c>
      <c r="N25"/>
      <c r="P25"/>
      <c r="R25"/>
      <c r="S25" s="2"/>
      <c r="U25" s="10"/>
      <c r="Y25"/>
      <c r="Z25"/>
      <c r="AA25"/>
      <c r="AB25"/>
      <c r="AC25"/>
      <c r="AD25"/>
      <c r="AE25"/>
      <c r="AF25"/>
    </row>
    <row r="26" spans="2:32" s="4" customFormat="1" ht="26" hidden="1" customHeight="1" outlineLevel="1">
      <c r="B26" s="723" t="s">
        <v>1756</v>
      </c>
      <c r="C26" s="724"/>
      <c r="D26" s="725"/>
      <c r="E26" s="732"/>
      <c r="F26" s="733"/>
      <c r="G26" s="444"/>
      <c r="H26" s="479"/>
      <c r="I26" s="347"/>
      <c r="J26" s="719"/>
      <c r="K26" s="586">
        <v>3</v>
      </c>
      <c r="L26" s="383">
        <f t="shared" si="3"/>
        <v>0</v>
      </c>
      <c r="M26" s="593">
        <v>0</v>
      </c>
      <c r="N26"/>
      <c r="O26" s="28"/>
      <c r="P26"/>
      <c r="Q26" s="2"/>
      <c r="R26"/>
      <c r="S26" s="2"/>
      <c r="U26" s="10"/>
      <c r="Y26"/>
      <c r="Z26"/>
      <c r="AA26"/>
      <c r="AB26"/>
      <c r="AC26"/>
      <c r="AD26"/>
      <c r="AE26"/>
      <c r="AF26"/>
    </row>
    <row r="27" spans="2:32" s="4" customFormat="1" ht="26" hidden="1" customHeight="1" outlineLevel="1" thickBot="1">
      <c r="B27" s="729"/>
      <c r="C27" s="730"/>
      <c r="D27" s="731"/>
      <c r="E27" s="866"/>
      <c r="F27" s="867"/>
      <c r="G27" s="445"/>
      <c r="H27" s="480"/>
      <c r="I27" s="437"/>
      <c r="J27" s="720"/>
      <c r="K27" s="587">
        <v>3</v>
      </c>
      <c r="L27" s="383">
        <f t="shared" si="3"/>
        <v>0</v>
      </c>
      <c r="M27" s="593">
        <v>0</v>
      </c>
      <c r="N27"/>
      <c r="O27" s="28"/>
      <c r="P27"/>
      <c r="Q27" s="2"/>
      <c r="R27"/>
      <c r="S27" s="2"/>
      <c r="U27" s="10"/>
      <c r="Y27"/>
      <c r="Z27"/>
      <c r="AA27"/>
      <c r="AB27"/>
      <c r="AC27"/>
      <c r="AD27"/>
      <c r="AE27"/>
      <c r="AF27"/>
    </row>
    <row r="28" spans="2:32" ht="15" customHeight="1" collapsed="1" thickBot="1">
      <c r="B28" s="163" t="s">
        <v>46</v>
      </c>
      <c r="C28" s="163"/>
      <c r="D28" s="163"/>
      <c r="E28" s="163"/>
      <c r="F28" s="163"/>
      <c r="G28" s="194"/>
      <c r="H28" s="8"/>
      <c r="I28" s="8"/>
      <c r="J28" s="12"/>
      <c r="K28" s="12"/>
      <c r="L28" s="370"/>
      <c r="M28" s="370"/>
      <c r="O28"/>
      <c r="P28"/>
      <c r="Q28" s="2"/>
      <c r="R28"/>
      <c r="S28" s="2"/>
      <c r="U28" s="10"/>
      <c r="V28" s="4"/>
      <c r="W28" s="4"/>
      <c r="X28" s="4"/>
    </row>
    <row r="29" spans="2:32" ht="28" customHeight="1" thickBot="1">
      <c r="B29" s="765" t="str">
        <f>B$2</f>
        <v>Damage Assessments for Sustainable Reconstruction in Ukraine</v>
      </c>
      <c r="C29" s="766"/>
      <c r="D29" s="766"/>
      <c r="E29" s="766"/>
      <c r="F29" s="766"/>
      <c r="G29" s="766"/>
      <c r="H29" s="766"/>
      <c r="I29" s="784" t="str">
        <f>I$2</f>
        <v>Irpin Urban Area</v>
      </c>
      <c r="J29" s="785"/>
      <c r="K29" s="786"/>
      <c r="L29" s="371" t="str">
        <f>L$2</f>
        <v>27Jan23</v>
      </c>
      <c r="M29" s="164">
        <v>3</v>
      </c>
      <c r="P29"/>
      <c r="Q29" s="2"/>
      <c r="R29"/>
      <c r="S29" s="2"/>
      <c r="T29"/>
      <c r="V29" s="4"/>
      <c r="W29" s="4"/>
      <c r="X29" s="4"/>
    </row>
    <row r="30" spans="2:32" ht="27" customHeight="1">
      <c r="B30" s="938" t="str">
        <f>Languages!$C$184&amp;" 2"</f>
        <v>Soil and site 2</v>
      </c>
      <c r="C30" s="939"/>
      <c r="D30" s="787" t="str">
        <f>Languages!$N$176</f>
        <v>Information on main asset &amp; sub-assets</v>
      </c>
      <c r="E30" s="788" t="str">
        <f>Languages!$I$188</f>
        <v>Area and/or quantity assessed</v>
      </c>
      <c r="F30" s="789"/>
      <c r="G30" s="848" t="str">
        <f>Languages!$M$194</f>
        <v>Enter info on type and area / quantity of assets, type and extent of damage.</v>
      </c>
      <c r="H30" s="849"/>
      <c r="I30" s="796" t="s">
        <v>2118</v>
      </c>
      <c r="J30" s="798" t="str">
        <f>Languages!$K$177</f>
        <v>Approx. repair costs, priority 4 &amp; 5 assets, m. Euro</v>
      </c>
      <c r="K30" s="799"/>
      <c r="L30" s="446">
        <f>IF(K34&gt;3,$L34)+IF(K39&gt;3,$L39)+IF(K44&gt;3,$L44)</f>
        <v>316.8</v>
      </c>
      <c r="M30" s="368" t="s">
        <v>1966</v>
      </c>
      <c r="P30"/>
      <c r="Q30" s="2"/>
      <c r="R30"/>
      <c r="S30" s="2"/>
      <c r="T30"/>
      <c r="V30" s="4"/>
      <c r="W30" s="4"/>
      <c r="X30" s="4"/>
    </row>
    <row r="31" spans="2:32" ht="27" customHeight="1">
      <c r="B31" s="940"/>
      <c r="C31" s="941"/>
      <c r="D31" s="768"/>
      <c r="E31" s="790"/>
      <c r="F31" s="791"/>
      <c r="G31" s="850"/>
      <c r="H31" s="851"/>
      <c r="I31" s="797"/>
      <c r="J31" s="852" t="str">
        <f>Languages!$K$176</f>
        <v>Approx. total repair costs, m. Euro</v>
      </c>
      <c r="K31" s="853"/>
      <c r="L31" s="447">
        <f>L34+L39+L44</f>
        <v>404.8</v>
      </c>
      <c r="M31" s="369" t="s">
        <v>1966</v>
      </c>
      <c r="P31"/>
      <c r="Q31" s="2"/>
      <c r="R31"/>
      <c r="S31" s="2"/>
      <c r="U31" s="10"/>
      <c r="V31" s="4"/>
      <c r="W31" s="4"/>
      <c r="X31" s="4"/>
    </row>
    <row r="32" spans="2:32" ht="25" customHeight="1">
      <c r="B32" s="940"/>
      <c r="C32" s="941"/>
      <c r="D32" s="768"/>
      <c r="E32" s="802" t="s">
        <v>1546</v>
      </c>
      <c r="F32" s="804" t="str">
        <f>Languages!$N$178</f>
        <v>Unit type</v>
      </c>
      <c r="G32" s="854" t="str">
        <f>G$11</f>
        <v>Asset / Component</v>
      </c>
      <c r="H32" s="767" t="s">
        <v>2251</v>
      </c>
      <c r="I32" s="331" t="s">
        <v>2117</v>
      </c>
      <c r="J32" s="856" t="str">
        <f>Languages!$K$178</f>
        <v>Actions</v>
      </c>
      <c r="K32" s="857"/>
      <c r="L32" s="868" t="s">
        <v>1550</v>
      </c>
      <c r="M32" s="869"/>
      <c r="P32"/>
      <c r="Q32" s="2"/>
      <c r="R32"/>
      <c r="S32" s="2"/>
      <c r="U32" s="10"/>
      <c r="V32" s="4"/>
      <c r="W32" s="4"/>
      <c r="X32" s="4"/>
    </row>
    <row r="33" spans="2:32" s="4" customFormat="1" ht="27" customHeight="1" thickBot="1">
      <c r="B33" s="940"/>
      <c r="C33" s="941"/>
      <c r="D33" s="768"/>
      <c r="E33" s="803"/>
      <c r="F33" s="805"/>
      <c r="G33" s="855"/>
      <c r="H33" s="768"/>
      <c r="I33" s="330" t="str">
        <f>Languages!$E$190</f>
        <v>Social Impact level</v>
      </c>
      <c r="J33" s="469" t="str">
        <f>Languages!$K$185</f>
        <v>Action required</v>
      </c>
      <c r="K33" s="540" t="str">
        <f>Languages!$G$193</f>
        <v>Priority 
1 - 5</v>
      </c>
      <c r="L33" s="451" t="s">
        <v>2214</v>
      </c>
      <c r="M33" s="470" t="s">
        <v>1774</v>
      </c>
      <c r="N33"/>
      <c r="P33"/>
      <c r="R33"/>
      <c r="S33" s="2"/>
      <c r="U33" s="10"/>
      <c r="Y33"/>
      <c r="Z33"/>
      <c r="AA33"/>
      <c r="AB33"/>
      <c r="AC33"/>
      <c r="AD33"/>
      <c r="AE33"/>
      <c r="AF33"/>
    </row>
    <row r="34" spans="2:32" s="4" customFormat="1" ht="26" customHeight="1">
      <c r="B34" s="739" t="str">
        <f>Languages!$C$206</f>
        <v>Water table / aquifer</v>
      </c>
      <c r="C34" s="740"/>
      <c r="D34" s="553" t="s">
        <v>2178</v>
      </c>
      <c r="E34" s="817">
        <v>1</v>
      </c>
      <c r="F34" s="818"/>
      <c r="G34" s="531" t="s">
        <v>2193</v>
      </c>
      <c r="H34" s="537" t="s">
        <v>2123</v>
      </c>
      <c r="I34" s="533" t="s">
        <v>2103</v>
      </c>
      <c r="J34" s="534" t="s">
        <v>2113</v>
      </c>
      <c r="K34" s="535">
        <v>5</v>
      </c>
      <c r="L34" s="536">
        <f>E34*E36*M34</f>
        <v>52.8</v>
      </c>
      <c r="M34" s="840">
        <v>0.6</v>
      </c>
      <c r="N34"/>
      <c r="P34"/>
      <c r="R34"/>
      <c r="S34" s="2"/>
      <c r="U34" s="10"/>
      <c r="Y34"/>
      <c r="Z34"/>
      <c r="AA34"/>
      <c r="AB34"/>
      <c r="AC34"/>
      <c r="AD34"/>
      <c r="AE34"/>
      <c r="AF34"/>
    </row>
    <row r="35" spans="2:32" s="4" customFormat="1" ht="26" customHeight="1" thickBot="1">
      <c r="B35" s="741"/>
      <c r="C35" s="742"/>
      <c r="D35" s="569" t="s">
        <v>1770</v>
      </c>
      <c r="E35" s="759">
        <f>E34*E36</f>
        <v>88</v>
      </c>
      <c r="F35" s="760"/>
      <c r="G35" s="572" t="s">
        <v>2194</v>
      </c>
      <c r="H35" s="575" t="s">
        <v>2124</v>
      </c>
      <c r="I35" s="574" t="s">
        <v>2120</v>
      </c>
      <c r="J35" s="481"/>
      <c r="K35" s="482"/>
      <c r="L35" s="576" t="s">
        <v>2224</v>
      </c>
      <c r="M35" s="841"/>
      <c r="N35"/>
      <c r="P35"/>
      <c r="R35"/>
      <c r="S35" s="2"/>
      <c r="U35" s="10"/>
      <c r="Y35"/>
      <c r="Z35"/>
      <c r="AA35"/>
      <c r="AB35"/>
      <c r="AC35"/>
      <c r="AD35"/>
      <c r="AE35"/>
      <c r="AF35"/>
    </row>
    <row r="36" spans="2:32" s="4" customFormat="1" ht="26" hidden="1" customHeight="1" outlineLevel="1">
      <c r="B36" s="745"/>
      <c r="C36" s="746"/>
      <c r="D36" s="554" t="s">
        <v>1771</v>
      </c>
      <c r="E36" s="552">
        <v>88</v>
      </c>
      <c r="F36" s="338" t="s">
        <v>1755</v>
      </c>
      <c r="G36" s="423"/>
      <c r="H36" s="708" t="s">
        <v>2111</v>
      </c>
      <c r="I36" s="483"/>
      <c r="J36" s="585"/>
      <c r="K36" s="585"/>
      <c r="L36" s="836"/>
      <c r="M36" s="837"/>
      <c r="N36"/>
      <c r="P36"/>
      <c r="R36"/>
      <c r="S36" s="2"/>
      <c r="U36" s="10"/>
      <c r="Y36"/>
      <c r="Z36"/>
      <c r="AA36"/>
      <c r="AB36"/>
      <c r="AC36"/>
      <c r="AD36"/>
      <c r="AE36"/>
      <c r="AF36"/>
    </row>
    <row r="37" spans="2:32" s="4" customFormat="1" ht="26" hidden="1" customHeight="1" outlineLevel="1">
      <c r="B37" s="723" t="s">
        <v>1961</v>
      </c>
      <c r="C37" s="724"/>
      <c r="D37" s="725"/>
      <c r="E37" s="732"/>
      <c r="F37" s="733"/>
      <c r="G37" s="423"/>
      <c r="H37" s="709"/>
      <c r="I37" s="483"/>
      <c r="J37" s="585"/>
      <c r="K37" s="585"/>
      <c r="L37" s="836"/>
      <c r="M37" s="837"/>
      <c r="N37"/>
      <c r="O37" s="28"/>
      <c r="P37"/>
      <c r="Q37" s="2"/>
      <c r="R37"/>
      <c r="S37" s="2"/>
      <c r="U37" s="10"/>
      <c r="Y37"/>
      <c r="Z37"/>
      <c r="AA37"/>
      <c r="AB37"/>
      <c r="AC37"/>
      <c r="AD37"/>
      <c r="AE37"/>
      <c r="AF37"/>
    </row>
    <row r="38" spans="2:32" s="4" customFormat="1" ht="26" hidden="1" customHeight="1" outlineLevel="1" thickBot="1">
      <c r="B38" s="726"/>
      <c r="C38" s="727"/>
      <c r="D38" s="728"/>
      <c r="E38" s="828"/>
      <c r="F38" s="829"/>
      <c r="G38" s="423"/>
      <c r="H38" s="710"/>
      <c r="I38" s="483"/>
      <c r="J38" s="585"/>
      <c r="K38" s="585"/>
      <c r="L38" s="836"/>
      <c r="M38" s="837"/>
      <c r="N38"/>
      <c r="O38" s="28"/>
      <c r="P38"/>
      <c r="Q38" s="2"/>
      <c r="R38"/>
      <c r="S38" s="2"/>
      <c r="U38" s="10"/>
      <c r="Y38"/>
      <c r="Z38"/>
      <c r="AA38"/>
      <c r="AB38"/>
      <c r="AC38"/>
      <c r="AD38"/>
      <c r="AE38"/>
      <c r="AF38"/>
    </row>
    <row r="39" spans="2:32" s="4" customFormat="1" ht="26" customHeight="1" collapsed="1">
      <c r="B39" s="739" t="str">
        <f>Languages!$C$207</f>
        <v>Surface water</v>
      </c>
      <c r="C39" s="740"/>
      <c r="D39" s="553" t="s">
        <v>2178</v>
      </c>
      <c r="E39" s="817">
        <v>1</v>
      </c>
      <c r="F39" s="818"/>
      <c r="G39" s="531" t="s">
        <v>2193</v>
      </c>
      <c r="H39" s="537" t="s">
        <v>2123</v>
      </c>
      <c r="I39" s="533" t="s">
        <v>2103</v>
      </c>
      <c r="J39" s="534" t="s">
        <v>2113</v>
      </c>
      <c r="K39" s="535">
        <v>5</v>
      </c>
      <c r="L39" s="536">
        <f>E39*E41*M39</f>
        <v>264</v>
      </c>
      <c r="M39" s="840">
        <v>12</v>
      </c>
      <c r="N39"/>
      <c r="P39"/>
      <c r="R39"/>
      <c r="S39" s="2"/>
      <c r="U39" s="10"/>
      <c r="Y39"/>
      <c r="Z39"/>
      <c r="AA39"/>
      <c r="AB39"/>
      <c r="AC39"/>
      <c r="AD39"/>
      <c r="AE39"/>
      <c r="AF39"/>
    </row>
    <row r="40" spans="2:32" s="4" customFormat="1" ht="26" customHeight="1" thickBot="1">
      <c r="B40" s="741"/>
      <c r="C40" s="742"/>
      <c r="D40" s="569" t="s">
        <v>1770</v>
      </c>
      <c r="E40" s="759">
        <f>E39*E41</f>
        <v>22</v>
      </c>
      <c r="F40" s="760"/>
      <c r="G40" s="572" t="s">
        <v>1436</v>
      </c>
      <c r="H40" s="575" t="s">
        <v>2123</v>
      </c>
      <c r="I40" s="574" t="s">
        <v>2115</v>
      </c>
      <c r="J40" s="481"/>
      <c r="K40" s="482"/>
      <c r="L40" s="576" t="s">
        <v>2224</v>
      </c>
      <c r="M40" s="841"/>
      <c r="N40"/>
      <c r="P40"/>
      <c r="R40"/>
      <c r="S40" s="2"/>
      <c r="U40" s="10"/>
      <c r="Y40"/>
      <c r="Z40"/>
      <c r="AA40"/>
      <c r="AB40"/>
      <c r="AC40"/>
      <c r="AD40"/>
      <c r="AE40"/>
      <c r="AF40"/>
    </row>
    <row r="41" spans="2:32" s="4" customFormat="1" ht="26" hidden="1" customHeight="1" outlineLevel="1">
      <c r="B41" s="745"/>
      <c r="C41" s="746"/>
      <c r="D41" s="554" t="s">
        <v>1771</v>
      </c>
      <c r="E41" s="552">
        <v>22</v>
      </c>
      <c r="F41" s="338" t="s">
        <v>1755</v>
      </c>
      <c r="G41" s="423"/>
      <c r="H41" s="423"/>
      <c r="I41" s="737"/>
      <c r="J41" s="747" t="s">
        <v>2111</v>
      </c>
      <c r="K41" s="748"/>
      <c r="L41" s="836"/>
      <c r="M41" s="837"/>
      <c r="N41"/>
      <c r="P41"/>
      <c r="R41"/>
      <c r="S41" s="2"/>
      <c r="U41" s="10"/>
      <c r="Y41"/>
      <c r="Z41"/>
      <c r="AA41"/>
      <c r="AB41"/>
      <c r="AC41"/>
      <c r="AD41"/>
      <c r="AE41"/>
      <c r="AF41"/>
    </row>
    <row r="42" spans="2:32" s="4" customFormat="1" ht="26" hidden="1" customHeight="1" outlineLevel="1">
      <c r="B42" s="723" t="s">
        <v>1962</v>
      </c>
      <c r="C42" s="724"/>
      <c r="D42" s="725"/>
      <c r="E42" s="732"/>
      <c r="F42" s="733"/>
      <c r="G42" s="423"/>
      <c r="H42" s="423"/>
      <c r="I42" s="858"/>
      <c r="J42" s="747"/>
      <c r="K42" s="748"/>
      <c r="L42" s="836"/>
      <c r="M42" s="837"/>
      <c r="N42"/>
      <c r="O42" s="28"/>
      <c r="P42"/>
      <c r="Q42" s="2"/>
      <c r="R42"/>
      <c r="S42" s="2"/>
      <c r="U42" s="10"/>
      <c r="Y42"/>
      <c r="Z42"/>
      <c r="AA42"/>
      <c r="AB42"/>
      <c r="AC42"/>
      <c r="AD42"/>
      <c r="AE42"/>
      <c r="AF42"/>
    </row>
    <row r="43" spans="2:32" s="4" customFormat="1" ht="26" hidden="1" customHeight="1" outlineLevel="1" thickBot="1">
      <c r="B43" s="726"/>
      <c r="C43" s="727"/>
      <c r="D43" s="728"/>
      <c r="E43" s="828"/>
      <c r="F43" s="829"/>
      <c r="G43" s="423"/>
      <c r="H43" s="423"/>
      <c r="I43" s="858"/>
      <c r="J43" s="747"/>
      <c r="K43" s="748"/>
      <c r="L43" s="836"/>
      <c r="M43" s="837"/>
      <c r="N43"/>
      <c r="O43" s="28"/>
      <c r="P43"/>
      <c r="Q43" s="2"/>
      <c r="R43"/>
      <c r="S43" s="2"/>
      <c r="U43" s="10"/>
      <c r="Y43"/>
      <c r="Z43"/>
      <c r="AA43"/>
      <c r="AB43"/>
      <c r="AC43"/>
      <c r="AD43"/>
      <c r="AE43"/>
      <c r="AF43"/>
    </row>
    <row r="44" spans="2:32" ht="26" customHeight="1" collapsed="1">
      <c r="B44" s="739" t="str">
        <f>Languages!C$208</f>
        <v>Natural landscape</v>
      </c>
      <c r="C44" s="740"/>
      <c r="D44" s="553" t="s">
        <v>2178</v>
      </c>
      <c r="E44" s="860">
        <v>1</v>
      </c>
      <c r="F44" s="820"/>
      <c r="G44" s="531" t="s">
        <v>2193</v>
      </c>
      <c r="H44" s="537" t="s">
        <v>2123</v>
      </c>
      <c r="I44" s="533" t="s">
        <v>2103</v>
      </c>
      <c r="J44" s="534" t="s">
        <v>2113</v>
      </c>
      <c r="K44" s="535">
        <v>3</v>
      </c>
      <c r="L44" s="536">
        <f>E44*E46*M44</f>
        <v>88</v>
      </c>
      <c r="M44" s="840">
        <v>4</v>
      </c>
      <c r="P44"/>
      <c r="Q44" s="2"/>
      <c r="R44"/>
      <c r="S44"/>
      <c r="T44"/>
    </row>
    <row r="45" spans="2:32" ht="26" customHeight="1" thickBot="1">
      <c r="B45" s="741"/>
      <c r="C45" s="742"/>
      <c r="D45" s="569" t="s">
        <v>1770</v>
      </c>
      <c r="E45" s="759">
        <f>E44*E46</f>
        <v>22</v>
      </c>
      <c r="F45" s="760"/>
      <c r="G45" s="572" t="s">
        <v>1451</v>
      </c>
      <c r="H45" s="575" t="s">
        <v>2123</v>
      </c>
      <c r="I45" s="574" t="s">
        <v>2116</v>
      </c>
      <c r="J45" s="481"/>
      <c r="K45" s="482"/>
      <c r="L45" s="576" t="s">
        <v>2224</v>
      </c>
      <c r="M45" s="841"/>
      <c r="P45"/>
      <c r="Q45" s="2"/>
      <c r="R45"/>
      <c r="S45"/>
      <c r="T45"/>
    </row>
    <row r="46" spans="2:32" s="4" customFormat="1" ht="26" hidden="1" customHeight="1" outlineLevel="1">
      <c r="B46" s="745"/>
      <c r="C46" s="746"/>
      <c r="D46" s="554" t="s">
        <v>1771</v>
      </c>
      <c r="E46" s="552">
        <v>22</v>
      </c>
      <c r="F46" s="338" t="s">
        <v>1755</v>
      </c>
      <c r="G46" s="438" t="s">
        <v>2196</v>
      </c>
      <c r="H46" s="525" t="s">
        <v>2124</v>
      </c>
      <c r="I46" s="324"/>
      <c r="J46" s="747"/>
      <c r="K46" s="748"/>
      <c r="L46" s="836"/>
      <c r="M46" s="837"/>
      <c r="N46"/>
      <c r="P46"/>
      <c r="R46"/>
      <c r="S46" s="2"/>
      <c r="U46" s="10"/>
      <c r="Y46"/>
      <c r="Z46"/>
      <c r="AA46"/>
      <c r="AB46"/>
      <c r="AC46"/>
      <c r="AD46"/>
      <c r="AE46"/>
      <c r="AF46"/>
    </row>
    <row r="47" spans="2:32" s="4" customFormat="1" ht="26" hidden="1" customHeight="1" outlineLevel="1">
      <c r="B47" s="726"/>
      <c r="C47" s="727"/>
      <c r="D47" s="725"/>
      <c r="E47" s="732"/>
      <c r="F47" s="733"/>
      <c r="G47" s="442" t="s">
        <v>2195</v>
      </c>
      <c r="H47" s="439" t="s">
        <v>2124</v>
      </c>
      <c r="I47" s="441"/>
      <c r="J47" s="747"/>
      <c r="K47" s="748"/>
      <c r="L47" s="836"/>
      <c r="M47" s="837"/>
      <c r="N47"/>
      <c r="O47" s="28"/>
      <c r="P47"/>
      <c r="Q47" s="2"/>
      <c r="R47"/>
      <c r="S47" s="2"/>
      <c r="U47" s="10"/>
      <c r="Y47"/>
      <c r="Z47"/>
      <c r="AA47"/>
      <c r="AB47"/>
      <c r="AC47"/>
      <c r="AD47"/>
      <c r="AE47"/>
      <c r="AF47"/>
    </row>
    <row r="48" spans="2:32" s="4" customFormat="1" ht="26" hidden="1" customHeight="1" outlineLevel="1" thickBot="1">
      <c r="B48" s="729"/>
      <c r="C48" s="730"/>
      <c r="D48" s="731"/>
      <c r="E48" s="866"/>
      <c r="F48" s="867"/>
      <c r="G48" s="484"/>
      <c r="H48" s="485"/>
      <c r="I48" s="437"/>
      <c r="J48" s="749"/>
      <c r="K48" s="750"/>
      <c r="L48" s="838"/>
      <c r="M48" s="839"/>
      <c r="N48"/>
      <c r="O48" s="28"/>
      <c r="P48"/>
      <c r="Q48" s="2"/>
      <c r="R48"/>
      <c r="S48" s="2"/>
      <c r="U48" s="10"/>
      <c r="Y48"/>
      <c r="Z48"/>
      <c r="AA48"/>
      <c r="AB48"/>
      <c r="AC48"/>
      <c r="AD48"/>
      <c r="AE48"/>
      <c r="AF48"/>
    </row>
    <row r="49" spans="2:32" ht="15" customHeight="1" collapsed="1" thickBot="1">
      <c r="B49" s="163" t="s">
        <v>46</v>
      </c>
      <c r="C49" s="163"/>
      <c r="D49" s="163"/>
      <c r="E49" s="163"/>
      <c r="F49" s="163"/>
      <c r="G49" s="194"/>
      <c r="H49" s="8"/>
      <c r="I49" s="8"/>
      <c r="J49" s="12"/>
      <c r="K49" s="12"/>
      <c r="L49" s="370"/>
      <c r="M49" s="370"/>
      <c r="O49"/>
      <c r="P49"/>
      <c r="Q49" s="2"/>
      <c r="R49"/>
      <c r="S49" s="2"/>
      <c r="U49" s="10"/>
      <c r="V49" s="4"/>
      <c r="W49" s="4"/>
      <c r="X49" s="4"/>
    </row>
    <row r="50" spans="2:32" ht="28" customHeight="1" thickBot="1">
      <c r="B50" s="765" t="str">
        <f>B$2</f>
        <v>Damage Assessments for Sustainable Reconstruction in Ukraine</v>
      </c>
      <c r="C50" s="766"/>
      <c r="D50" s="766"/>
      <c r="E50" s="766"/>
      <c r="F50" s="766"/>
      <c r="G50" s="766"/>
      <c r="H50" s="766"/>
      <c r="I50" s="784" t="str">
        <f>I$2</f>
        <v>Irpin Urban Area</v>
      </c>
      <c r="J50" s="785"/>
      <c r="K50" s="786"/>
      <c r="L50" s="371" t="str">
        <f>L$2</f>
        <v>27Jan23</v>
      </c>
      <c r="M50" s="164">
        <v>4</v>
      </c>
      <c r="P50"/>
      <c r="Q50" s="2"/>
      <c r="R50"/>
      <c r="S50" s="2"/>
      <c r="T50"/>
      <c r="V50" s="4"/>
      <c r="W50" s="4"/>
      <c r="X50" s="4"/>
    </row>
    <row r="51" spans="2:32" ht="27" customHeight="1">
      <c r="B51" s="938" t="str">
        <f>Languages!$C$184&amp;" 3"</f>
        <v>Soil and site 3</v>
      </c>
      <c r="C51" s="939"/>
      <c r="D51" s="787" t="str">
        <f>Languages!$N$176</f>
        <v>Information on main asset &amp; sub-assets</v>
      </c>
      <c r="E51" s="788" t="str">
        <f>Languages!$I$188</f>
        <v>Area and/or quantity assessed</v>
      </c>
      <c r="F51" s="789"/>
      <c r="G51" s="848" t="str">
        <f>Languages!$M$194</f>
        <v>Enter info on type and area / quantity of assets, type and extent of damage.</v>
      </c>
      <c r="H51" s="849"/>
      <c r="I51" s="796" t="s">
        <v>2118</v>
      </c>
      <c r="J51" s="798" t="str">
        <f>Languages!$K$177</f>
        <v>Approx. repair costs, priority 4 &amp; 5 assets, m. Euro</v>
      </c>
      <c r="K51" s="799"/>
      <c r="L51" s="446">
        <f>IF(K55&gt;3,$L56)+IF(K61&gt;3,$L62)+IF(K67&gt;3,$L68)</f>
        <v>0</v>
      </c>
      <c r="M51" s="368" t="s">
        <v>1966</v>
      </c>
      <c r="P51"/>
      <c r="Q51" s="2"/>
      <c r="R51"/>
      <c r="S51" s="2"/>
      <c r="T51"/>
      <c r="V51" s="4"/>
      <c r="W51" s="4"/>
      <c r="X51" s="4"/>
    </row>
    <row r="52" spans="2:32" ht="27" customHeight="1">
      <c r="B52" s="940"/>
      <c r="C52" s="941"/>
      <c r="D52" s="768"/>
      <c r="E52" s="790"/>
      <c r="F52" s="791"/>
      <c r="G52" s="870"/>
      <c r="H52" s="851"/>
      <c r="I52" s="797"/>
      <c r="J52" s="852" t="str">
        <f>Languages!$K$176</f>
        <v>Approx. total repair costs, m. Euro</v>
      </c>
      <c r="K52" s="853"/>
      <c r="L52" s="447">
        <f>L56+L62+L68</f>
        <v>624</v>
      </c>
      <c r="M52" s="369" t="s">
        <v>1966</v>
      </c>
      <c r="P52"/>
      <c r="Q52" s="2"/>
      <c r="R52"/>
      <c r="S52" s="2"/>
      <c r="U52" s="10"/>
      <c r="V52" s="4"/>
      <c r="W52" s="4"/>
      <c r="X52" s="4"/>
    </row>
    <row r="53" spans="2:32" ht="25" customHeight="1">
      <c r="B53" s="940"/>
      <c r="C53" s="941"/>
      <c r="D53" s="768"/>
      <c r="E53" s="802" t="s">
        <v>1546</v>
      </c>
      <c r="F53" s="804" t="str">
        <f>Languages!$N$178</f>
        <v>Unit type</v>
      </c>
      <c r="G53" s="854" t="str">
        <f>G$11</f>
        <v>Asset / Component</v>
      </c>
      <c r="H53" s="767" t="s">
        <v>2251</v>
      </c>
      <c r="I53" s="331" t="s">
        <v>2117</v>
      </c>
      <c r="J53" s="856" t="str">
        <f>Languages!$K$178</f>
        <v>Actions</v>
      </c>
      <c r="K53" s="857"/>
      <c r="L53" s="868" t="s">
        <v>1550</v>
      </c>
      <c r="M53" s="869"/>
      <c r="P53"/>
      <c r="Q53" s="2"/>
      <c r="R53"/>
      <c r="S53" s="2"/>
      <c r="U53" s="10"/>
      <c r="V53" s="4"/>
      <c r="W53" s="4"/>
      <c r="X53" s="4"/>
    </row>
    <row r="54" spans="2:32" s="4" customFormat="1" ht="25" customHeight="1" thickBot="1">
      <c r="B54" s="940"/>
      <c r="C54" s="941"/>
      <c r="D54" s="768"/>
      <c r="E54" s="803"/>
      <c r="F54" s="805"/>
      <c r="G54" s="855"/>
      <c r="H54" s="768"/>
      <c r="I54" s="330" t="str">
        <f>Languages!$E$190</f>
        <v>Social Impact level</v>
      </c>
      <c r="J54" s="469" t="str">
        <f>Languages!$K$185</f>
        <v>Action required</v>
      </c>
      <c r="K54" s="540" t="str">
        <f>Languages!$G$193</f>
        <v>Priority 
1 - 5</v>
      </c>
      <c r="L54" s="451" t="s">
        <v>2214</v>
      </c>
      <c r="M54" s="470" t="s">
        <v>2266</v>
      </c>
      <c r="N54"/>
      <c r="P54"/>
      <c r="R54"/>
      <c r="S54" s="2"/>
      <c r="U54" s="10"/>
      <c r="Y54"/>
      <c r="Z54"/>
      <c r="AA54"/>
      <c r="AB54"/>
      <c r="AC54"/>
      <c r="AD54"/>
      <c r="AE54"/>
      <c r="AF54"/>
    </row>
    <row r="55" spans="2:32" ht="26" customHeight="1">
      <c r="B55" s="739" t="s">
        <v>2226</v>
      </c>
      <c r="C55" s="740"/>
      <c r="D55" s="553" t="s">
        <v>2178</v>
      </c>
      <c r="E55" s="860">
        <v>1</v>
      </c>
      <c r="F55" s="820"/>
      <c r="G55" s="711" t="str">
        <f>G$11</f>
        <v>Asset / Component</v>
      </c>
      <c r="H55" s="734" t="s">
        <v>2123</v>
      </c>
      <c r="I55" s="711" t="s">
        <v>2262</v>
      </c>
      <c r="J55" s="711" t="s">
        <v>2212</v>
      </c>
      <c r="K55" s="721">
        <f>SUM(K58:K60)/3</f>
        <v>3</v>
      </c>
      <c r="L55" s="605" t="s">
        <v>2144</v>
      </c>
      <c r="M55" s="757"/>
      <c r="P55"/>
      <c r="Q55" s="2"/>
      <c r="R55"/>
      <c r="S55"/>
      <c r="T55"/>
    </row>
    <row r="56" spans="2:32" ht="26" customHeight="1" thickBot="1">
      <c r="B56" s="741"/>
      <c r="C56" s="742"/>
      <c r="D56" s="569" t="s">
        <v>2264</v>
      </c>
      <c r="E56" s="759">
        <f>E55*E57</f>
        <v>4</v>
      </c>
      <c r="F56" s="760"/>
      <c r="G56" s="712"/>
      <c r="H56" s="735"/>
      <c r="I56" s="712"/>
      <c r="J56" s="712"/>
      <c r="K56" s="722"/>
      <c r="L56" s="452">
        <f>SUM(M58:M60)</f>
        <v>600</v>
      </c>
      <c r="M56" s="811"/>
      <c r="P56"/>
      <c r="Q56" s="2"/>
      <c r="R56"/>
      <c r="S56"/>
      <c r="T56"/>
    </row>
    <row r="57" spans="2:32" s="4" customFormat="1" ht="26" hidden="1" customHeight="1" outlineLevel="1">
      <c r="B57" s="745"/>
      <c r="C57" s="746"/>
      <c r="D57" s="554" t="s">
        <v>2265</v>
      </c>
      <c r="E57" s="555">
        <v>4</v>
      </c>
      <c r="F57" s="338" t="s">
        <v>1773</v>
      </c>
      <c r="G57" s="329" t="s">
        <v>2130</v>
      </c>
      <c r="H57" s="375" t="s">
        <v>2250</v>
      </c>
      <c r="I57" s="581" t="s">
        <v>2103</v>
      </c>
      <c r="J57" s="376" t="str">
        <f>Languages!$K$185</f>
        <v>Action required</v>
      </c>
      <c r="K57" s="377" t="str">
        <f>Languages!$G$193</f>
        <v>Priority 
1 - 5</v>
      </c>
      <c r="L57" s="451" t="s">
        <v>2214</v>
      </c>
      <c r="M57" s="450" t="str">
        <f>Languages!$M$178&amp;" per ha."</f>
        <v>Est. Euro per ha.</v>
      </c>
      <c r="N57"/>
      <c r="P57"/>
      <c r="R57"/>
      <c r="S57" s="2"/>
      <c r="U57" s="10"/>
      <c r="Y57"/>
      <c r="Z57"/>
      <c r="AA57"/>
      <c r="AB57"/>
      <c r="AC57"/>
      <c r="AD57"/>
      <c r="AE57"/>
      <c r="AF57"/>
    </row>
    <row r="58" spans="2:32" s="4" customFormat="1" ht="26" hidden="1" customHeight="1" outlineLevel="1">
      <c r="B58" s="723"/>
      <c r="C58" s="724"/>
      <c r="D58" s="725"/>
      <c r="E58" s="732"/>
      <c r="F58" s="733"/>
      <c r="G58" s="572" t="s">
        <v>1451</v>
      </c>
      <c r="H58" s="575" t="s">
        <v>2123</v>
      </c>
      <c r="I58" s="736"/>
      <c r="J58" s="342" t="s">
        <v>2113</v>
      </c>
      <c r="K58" s="322">
        <v>3</v>
      </c>
      <c r="L58" s="383">
        <f>E$55*E$57*M58</f>
        <v>2400</v>
      </c>
      <c r="M58" s="606">
        <v>600</v>
      </c>
      <c r="N58"/>
      <c r="P58"/>
      <c r="R58"/>
      <c r="S58" s="2"/>
      <c r="U58" s="10"/>
      <c r="Y58"/>
      <c r="Z58"/>
      <c r="AA58"/>
      <c r="AB58"/>
      <c r="AC58"/>
      <c r="AD58"/>
      <c r="AE58"/>
      <c r="AF58"/>
    </row>
    <row r="59" spans="2:32" s="4" customFormat="1" ht="26" hidden="1" customHeight="1" outlineLevel="1">
      <c r="B59" s="726"/>
      <c r="C59" s="727"/>
      <c r="D59" s="728"/>
      <c r="E59" s="842"/>
      <c r="F59" s="843"/>
      <c r="G59" s="572" t="s">
        <v>2239</v>
      </c>
      <c r="H59" s="575" t="s">
        <v>2123</v>
      </c>
      <c r="I59" s="737"/>
      <c r="J59" s="342" t="s">
        <v>2113</v>
      </c>
      <c r="K59" s="322">
        <v>3</v>
      </c>
      <c r="L59" s="383">
        <f t="shared" ref="L59:L60" si="4">E$55*E$57*M59</f>
        <v>0</v>
      </c>
      <c r="M59" s="606">
        <v>0</v>
      </c>
      <c r="N59"/>
      <c r="O59" s="28"/>
      <c r="P59"/>
      <c r="Q59" s="2"/>
      <c r="R59"/>
      <c r="S59" s="2"/>
      <c r="U59" s="10"/>
      <c r="Y59"/>
      <c r="Z59"/>
      <c r="AA59"/>
      <c r="AB59"/>
      <c r="AC59"/>
      <c r="AD59"/>
      <c r="AE59"/>
      <c r="AF59"/>
    </row>
    <row r="60" spans="2:32" s="4" customFormat="1" ht="26" hidden="1" customHeight="1" outlineLevel="1" thickBot="1">
      <c r="B60" s="726"/>
      <c r="C60" s="727"/>
      <c r="D60" s="728"/>
      <c r="E60" s="844"/>
      <c r="F60" s="845"/>
      <c r="G60" s="572"/>
      <c r="H60" s="584" t="s">
        <v>2123</v>
      </c>
      <c r="I60" s="738"/>
      <c r="J60" s="342"/>
      <c r="K60" s="322">
        <v>3</v>
      </c>
      <c r="L60" s="544">
        <f t="shared" si="4"/>
        <v>0</v>
      </c>
      <c r="M60" s="593">
        <v>0</v>
      </c>
      <c r="N60"/>
      <c r="O60" s="28"/>
      <c r="P60"/>
      <c r="Q60" s="2"/>
      <c r="R60"/>
      <c r="S60" s="2"/>
      <c r="U60" s="10"/>
      <c r="Y60"/>
      <c r="Z60"/>
      <c r="AA60"/>
      <c r="AB60"/>
      <c r="AC60"/>
      <c r="AD60"/>
      <c r="AE60"/>
      <c r="AF60"/>
    </row>
    <row r="61" spans="2:32" s="4" customFormat="1" ht="26" customHeight="1" collapsed="1">
      <c r="B61" s="739" t="str">
        <f>Languages!$C$210</f>
        <v>Urban tree grove(s)</v>
      </c>
      <c r="C61" s="740"/>
      <c r="D61" s="553" t="s">
        <v>2178</v>
      </c>
      <c r="E61" s="817">
        <v>6</v>
      </c>
      <c r="F61" s="818"/>
      <c r="G61" s="711" t="str">
        <f>G$11</f>
        <v>Asset / Component</v>
      </c>
      <c r="H61" s="734" t="s">
        <v>2123</v>
      </c>
      <c r="I61" s="711" t="s">
        <v>2262</v>
      </c>
      <c r="J61" s="711" t="s">
        <v>2212</v>
      </c>
      <c r="K61" s="721">
        <f>SUM(K64:K66)/3</f>
        <v>3</v>
      </c>
      <c r="L61" s="605" t="s">
        <v>2144</v>
      </c>
      <c r="M61" s="840">
        <v>0.1</v>
      </c>
      <c r="N61"/>
      <c r="P61"/>
      <c r="R61"/>
      <c r="S61" s="2"/>
      <c r="U61" s="10"/>
      <c r="Y61"/>
      <c r="Z61"/>
      <c r="AA61"/>
      <c r="AB61"/>
      <c r="AC61"/>
      <c r="AD61"/>
      <c r="AE61"/>
      <c r="AF61"/>
    </row>
    <row r="62" spans="2:32" s="4" customFormat="1" ht="26" customHeight="1" thickBot="1">
      <c r="B62" s="741"/>
      <c r="C62" s="742"/>
      <c r="D62" s="569" t="s">
        <v>2264</v>
      </c>
      <c r="E62" s="759">
        <f>E61*E63</f>
        <v>6</v>
      </c>
      <c r="F62" s="760"/>
      <c r="G62" s="712"/>
      <c r="H62" s="735"/>
      <c r="I62" s="712"/>
      <c r="J62" s="712"/>
      <c r="K62" s="722"/>
      <c r="L62" s="452">
        <f>SUM(M64:M66)</f>
        <v>12</v>
      </c>
      <c r="M62" s="841"/>
      <c r="N62"/>
      <c r="P62"/>
      <c r="R62"/>
      <c r="S62" s="2"/>
      <c r="U62" s="10"/>
      <c r="Y62"/>
      <c r="Z62"/>
      <c r="AA62"/>
      <c r="AB62"/>
      <c r="AC62"/>
      <c r="AD62"/>
      <c r="AE62"/>
      <c r="AF62"/>
    </row>
    <row r="63" spans="2:32" s="4" customFormat="1" ht="26" hidden="1" customHeight="1" outlineLevel="1">
      <c r="B63" s="745"/>
      <c r="C63" s="746"/>
      <c r="D63" s="554" t="s">
        <v>2265</v>
      </c>
      <c r="E63" s="555">
        <v>1</v>
      </c>
      <c r="F63" s="338" t="s">
        <v>1773</v>
      </c>
      <c r="G63" s="329" t="s">
        <v>2130</v>
      </c>
      <c r="H63" s="375" t="s">
        <v>2250</v>
      </c>
      <c r="I63" s="581" t="s">
        <v>2103</v>
      </c>
      <c r="J63" s="376" t="str">
        <f>Languages!$K$185</f>
        <v>Action required</v>
      </c>
      <c r="K63" s="377" t="str">
        <f>Languages!$G$193</f>
        <v>Priority 
1 - 5</v>
      </c>
      <c r="L63" s="451" t="s">
        <v>2214</v>
      </c>
      <c r="M63" s="450" t="str">
        <f>Languages!$M$178&amp;" per ha."</f>
        <v>Est. Euro per ha.</v>
      </c>
      <c r="N63"/>
      <c r="P63"/>
      <c r="R63"/>
      <c r="S63" s="2"/>
      <c r="U63" s="10"/>
      <c r="Y63"/>
      <c r="Z63"/>
      <c r="AA63"/>
      <c r="AB63"/>
      <c r="AC63"/>
      <c r="AD63"/>
      <c r="AE63"/>
      <c r="AF63"/>
    </row>
    <row r="64" spans="2:32" s="4" customFormat="1" ht="26" hidden="1" customHeight="1" outlineLevel="1">
      <c r="B64" s="723"/>
      <c r="C64" s="724"/>
      <c r="D64" s="725"/>
      <c r="E64" s="732"/>
      <c r="F64" s="733"/>
      <c r="G64" s="572" t="s">
        <v>2239</v>
      </c>
      <c r="H64" s="575" t="s">
        <v>2123</v>
      </c>
      <c r="I64" s="736"/>
      <c r="J64" s="342" t="s">
        <v>2113</v>
      </c>
      <c r="K64" s="322">
        <v>3</v>
      </c>
      <c r="L64" s="383">
        <f>E$61*E$63*M64</f>
        <v>36</v>
      </c>
      <c r="M64" s="606">
        <v>6</v>
      </c>
      <c r="N64"/>
      <c r="P64"/>
      <c r="R64"/>
      <c r="S64" s="2"/>
      <c r="U64" s="10"/>
      <c r="Y64"/>
      <c r="Z64"/>
      <c r="AA64"/>
      <c r="AB64"/>
      <c r="AC64"/>
      <c r="AD64"/>
      <c r="AE64"/>
      <c r="AF64"/>
    </row>
    <row r="65" spans="2:32" s="4" customFormat="1" ht="26" hidden="1" customHeight="1" outlineLevel="1">
      <c r="B65" s="726"/>
      <c r="C65" s="727"/>
      <c r="D65" s="728"/>
      <c r="E65" s="842"/>
      <c r="F65" s="843"/>
      <c r="G65" s="572" t="s">
        <v>2244</v>
      </c>
      <c r="H65" s="575" t="s">
        <v>2123</v>
      </c>
      <c r="I65" s="737"/>
      <c r="J65" s="342" t="s">
        <v>2113</v>
      </c>
      <c r="K65" s="322">
        <v>3</v>
      </c>
      <c r="L65" s="383">
        <f t="shared" ref="L65:L66" si="5">E$61*E$63*M65</f>
        <v>36</v>
      </c>
      <c r="M65" s="606">
        <v>6</v>
      </c>
      <c r="N65"/>
      <c r="O65" s="28"/>
      <c r="P65"/>
      <c r="Q65" s="2"/>
      <c r="R65"/>
      <c r="S65" s="2"/>
      <c r="U65" s="10"/>
      <c r="Y65"/>
      <c r="Z65"/>
      <c r="AA65"/>
      <c r="AB65"/>
      <c r="AC65"/>
      <c r="AD65"/>
      <c r="AE65"/>
      <c r="AF65"/>
    </row>
    <row r="66" spans="2:32" s="4" customFormat="1" ht="26" hidden="1" customHeight="1" outlineLevel="1" thickBot="1">
      <c r="B66" s="726"/>
      <c r="C66" s="727"/>
      <c r="D66" s="728"/>
      <c r="E66" s="844"/>
      <c r="F66" s="845"/>
      <c r="G66" s="572"/>
      <c r="H66" s="584" t="s">
        <v>2123</v>
      </c>
      <c r="I66" s="738"/>
      <c r="J66" s="342"/>
      <c r="K66" s="322">
        <v>3</v>
      </c>
      <c r="L66" s="544">
        <f t="shared" si="5"/>
        <v>0</v>
      </c>
      <c r="M66" s="593">
        <v>0</v>
      </c>
      <c r="N66"/>
      <c r="O66" s="28"/>
      <c r="P66"/>
      <c r="Q66" s="2"/>
      <c r="R66"/>
      <c r="S66" s="2"/>
      <c r="U66" s="10"/>
      <c r="Y66"/>
      <c r="Z66"/>
      <c r="AA66"/>
      <c r="AB66"/>
      <c r="AC66"/>
      <c r="AD66"/>
      <c r="AE66"/>
      <c r="AF66"/>
    </row>
    <row r="67" spans="2:32" s="4" customFormat="1" ht="26" customHeight="1" collapsed="1">
      <c r="B67" s="739" t="str">
        <f>Languages!$C$211</f>
        <v>Community garden(s)</v>
      </c>
      <c r="C67" s="740"/>
      <c r="D67" s="553" t="s">
        <v>2178</v>
      </c>
      <c r="E67" s="817">
        <v>12</v>
      </c>
      <c r="F67" s="818"/>
      <c r="G67" s="711" t="str">
        <f>G$11</f>
        <v>Asset / Component</v>
      </c>
      <c r="H67" s="734" t="s">
        <v>2123</v>
      </c>
      <c r="I67" s="711" t="s">
        <v>2262</v>
      </c>
      <c r="J67" s="711" t="s">
        <v>2212</v>
      </c>
      <c r="K67" s="721">
        <f>SUM(K70:K72)/3</f>
        <v>3</v>
      </c>
      <c r="L67" s="605" t="s">
        <v>2144</v>
      </c>
      <c r="M67" s="840">
        <v>0.1</v>
      </c>
      <c r="N67"/>
      <c r="P67"/>
      <c r="R67"/>
      <c r="S67" s="2"/>
      <c r="U67" s="10"/>
      <c r="Y67"/>
      <c r="Z67"/>
      <c r="AA67"/>
      <c r="AB67"/>
      <c r="AC67"/>
      <c r="AD67"/>
      <c r="AE67"/>
      <c r="AF67"/>
    </row>
    <row r="68" spans="2:32" s="4" customFormat="1" ht="26" customHeight="1" thickBot="1">
      <c r="B68" s="741"/>
      <c r="C68" s="742"/>
      <c r="D68" s="569" t="s">
        <v>2264</v>
      </c>
      <c r="E68" s="759">
        <f>E67*E69</f>
        <v>12</v>
      </c>
      <c r="F68" s="760"/>
      <c r="G68" s="712"/>
      <c r="H68" s="735"/>
      <c r="I68" s="712"/>
      <c r="J68" s="712"/>
      <c r="K68" s="722"/>
      <c r="L68" s="452">
        <f>SUM(M70:M72)</f>
        <v>12</v>
      </c>
      <c r="M68" s="841"/>
      <c r="N68"/>
      <c r="P68"/>
      <c r="R68"/>
      <c r="S68" s="2"/>
      <c r="U68" s="10"/>
      <c r="Y68"/>
      <c r="Z68"/>
      <c r="AA68"/>
      <c r="AB68"/>
      <c r="AC68"/>
      <c r="AD68"/>
      <c r="AE68"/>
      <c r="AF68"/>
    </row>
    <row r="69" spans="2:32" s="4" customFormat="1" ht="26" hidden="1" customHeight="1" outlineLevel="1">
      <c r="B69" s="745"/>
      <c r="C69" s="746"/>
      <c r="D69" s="554" t="s">
        <v>2265</v>
      </c>
      <c r="E69" s="555">
        <v>1</v>
      </c>
      <c r="F69" s="338" t="s">
        <v>1773</v>
      </c>
      <c r="G69" s="329" t="s">
        <v>2130</v>
      </c>
      <c r="H69" s="375" t="s">
        <v>2250</v>
      </c>
      <c r="I69" s="581" t="s">
        <v>2103</v>
      </c>
      <c r="J69" s="376" t="str">
        <f>Languages!$K$185</f>
        <v>Action required</v>
      </c>
      <c r="K69" s="377" t="str">
        <f>Languages!$G$193</f>
        <v>Priority 
1 - 5</v>
      </c>
      <c r="L69" s="451" t="s">
        <v>2214</v>
      </c>
      <c r="M69" s="450" t="str">
        <f>Languages!$M$178&amp;" per ha."</f>
        <v>Est. Euro per ha.</v>
      </c>
      <c r="N69"/>
      <c r="P69"/>
      <c r="R69"/>
      <c r="S69" s="2"/>
      <c r="U69" s="10"/>
      <c r="Y69"/>
      <c r="Z69"/>
      <c r="AA69"/>
      <c r="AB69"/>
      <c r="AC69"/>
      <c r="AD69"/>
      <c r="AE69"/>
      <c r="AF69"/>
    </row>
    <row r="70" spans="2:32" s="4" customFormat="1" ht="26" hidden="1" customHeight="1" outlineLevel="1">
      <c r="B70" s="723"/>
      <c r="C70" s="724"/>
      <c r="D70" s="725"/>
      <c r="E70" s="732"/>
      <c r="F70" s="733"/>
      <c r="G70" s="572" t="s">
        <v>2193</v>
      </c>
      <c r="H70" s="575" t="s">
        <v>2123</v>
      </c>
      <c r="I70" s="736"/>
      <c r="J70" s="342" t="s">
        <v>2113</v>
      </c>
      <c r="K70" s="322">
        <v>3</v>
      </c>
      <c r="L70" s="383">
        <f>E$67*E$69*M70</f>
        <v>72</v>
      </c>
      <c r="M70" s="606">
        <v>6</v>
      </c>
      <c r="N70"/>
      <c r="O70" s="28"/>
      <c r="P70"/>
      <c r="Q70" s="2"/>
      <c r="R70"/>
      <c r="S70" s="2"/>
      <c r="U70" s="10"/>
      <c r="Y70"/>
      <c r="Z70"/>
      <c r="AA70"/>
      <c r="AB70"/>
      <c r="AC70"/>
      <c r="AD70"/>
      <c r="AE70"/>
      <c r="AF70"/>
    </row>
    <row r="71" spans="2:32" s="4" customFormat="1" ht="26" hidden="1" customHeight="1" outlineLevel="1">
      <c r="B71" s="726"/>
      <c r="C71" s="727"/>
      <c r="D71" s="728"/>
      <c r="E71" s="842"/>
      <c r="F71" s="843"/>
      <c r="G71" s="572" t="s">
        <v>2205</v>
      </c>
      <c r="H71" s="575" t="s">
        <v>2123</v>
      </c>
      <c r="I71" s="737"/>
      <c r="J71" s="342" t="s">
        <v>2113</v>
      </c>
      <c r="K71" s="322">
        <v>3</v>
      </c>
      <c r="L71" s="383">
        <f t="shared" ref="L71:L72" si="6">E$67*E$69*M71</f>
        <v>72</v>
      </c>
      <c r="M71" s="606">
        <v>6</v>
      </c>
      <c r="N71"/>
      <c r="O71" s="28"/>
      <c r="P71"/>
      <c r="Q71" s="2"/>
      <c r="R71"/>
      <c r="S71" s="2"/>
      <c r="U71" s="10"/>
      <c r="Y71"/>
      <c r="Z71"/>
      <c r="AA71"/>
      <c r="AB71"/>
      <c r="AC71"/>
      <c r="AD71"/>
      <c r="AE71"/>
      <c r="AF71"/>
    </row>
    <row r="72" spans="2:32" s="4" customFormat="1" ht="26" hidden="1" customHeight="1" outlineLevel="1" thickBot="1">
      <c r="B72" s="729"/>
      <c r="C72" s="730"/>
      <c r="D72" s="731"/>
      <c r="E72" s="846"/>
      <c r="F72" s="847"/>
      <c r="G72" s="607"/>
      <c r="H72" s="582" t="s">
        <v>2123</v>
      </c>
      <c r="I72" s="738"/>
      <c r="J72" s="342"/>
      <c r="K72" s="322">
        <v>3</v>
      </c>
      <c r="L72" s="383">
        <f t="shared" si="6"/>
        <v>0</v>
      </c>
      <c r="M72" s="593">
        <v>0</v>
      </c>
      <c r="N72"/>
      <c r="O72" s="28"/>
      <c r="P72"/>
      <c r="Q72" s="2"/>
      <c r="R72"/>
      <c r="S72" s="2"/>
      <c r="U72" s="10"/>
      <c r="Y72"/>
      <c r="Z72"/>
      <c r="AA72"/>
      <c r="AB72"/>
      <c r="AC72"/>
      <c r="AD72"/>
      <c r="AE72"/>
      <c r="AF72"/>
    </row>
    <row r="73" spans="2:32" ht="15" customHeight="1" collapsed="1" thickBot="1">
      <c r="B73" s="163" t="s">
        <v>46</v>
      </c>
      <c r="C73" s="163"/>
      <c r="D73" s="163"/>
      <c r="E73" s="163"/>
      <c r="F73" s="163"/>
      <c r="G73" s="194"/>
      <c r="H73" s="8"/>
      <c r="I73" s="12"/>
      <c r="J73" s="12"/>
      <c r="K73" s="12"/>
      <c r="L73" s="370"/>
      <c r="M73" s="370"/>
      <c r="O73"/>
      <c r="P73"/>
      <c r="Q73" s="2"/>
      <c r="R73"/>
      <c r="S73" s="2"/>
      <c r="U73" s="10"/>
      <c r="V73" s="4"/>
      <c r="W73" s="4"/>
      <c r="X73" s="4"/>
    </row>
    <row r="74" spans="2:32" ht="28" customHeight="1" thickBot="1">
      <c r="B74" s="765" t="str">
        <f>B$2</f>
        <v>Damage Assessments for Sustainable Reconstruction in Ukraine</v>
      </c>
      <c r="C74" s="766"/>
      <c r="D74" s="766"/>
      <c r="E74" s="766"/>
      <c r="F74" s="766"/>
      <c r="G74" s="766"/>
      <c r="H74" s="766"/>
      <c r="I74" s="784" t="str">
        <f>I$2</f>
        <v>Irpin Urban Area</v>
      </c>
      <c r="J74" s="785"/>
      <c r="K74" s="786"/>
      <c r="L74" s="371" t="str">
        <f>L$2</f>
        <v>27Jan23</v>
      </c>
      <c r="M74" s="164">
        <v>5</v>
      </c>
      <c r="P74"/>
      <c r="Q74" s="2"/>
      <c r="R74"/>
      <c r="S74" s="2"/>
      <c r="T74"/>
      <c r="V74" s="4"/>
      <c r="W74" s="4"/>
      <c r="X74" s="4"/>
    </row>
    <row r="75" spans="2:32" ht="27" customHeight="1">
      <c r="B75" s="938" t="str">
        <f>Languages!$C$185&amp;" 1"</f>
        <v>Public utilities and services 1</v>
      </c>
      <c r="C75" s="939"/>
      <c r="D75" s="787" t="str">
        <f>Languages!$N$176</f>
        <v>Information on main asset &amp; sub-assets</v>
      </c>
      <c r="E75" s="788" t="str">
        <f>Languages!$I$188</f>
        <v>Area and/or quantity assessed</v>
      </c>
      <c r="F75" s="789"/>
      <c r="G75" s="792" t="str">
        <f>Languages!$M$194</f>
        <v>Enter info on type and area / quantity of assets, type and extent of damage.</v>
      </c>
      <c r="H75" s="793"/>
      <c r="I75" s="796" t="s">
        <v>2118</v>
      </c>
      <c r="J75" s="798" t="str">
        <f>Languages!$K$177</f>
        <v>Approx. repair costs, priority 4 &amp; 5 assets, m. Euro</v>
      </c>
      <c r="K75" s="799"/>
      <c r="L75" s="486">
        <f>IF(K83&gt;3,L83,0)+IF(K84&gt;3,L84,0)+IF(K85&gt;3,L85,0)+IF(K86&gt;3,L86,0)+IF(K87&gt;3,L87,0)+IF(K88&gt;3,L88,0)+IF(K89&gt;3,L89,0)+IF(K90&gt;3,L90,0)+IF(K91&gt;3,L91,0)+IF(K92&gt;3,L92,0)+IF(K93&gt;3,L93,0)</f>
        <v>109020</v>
      </c>
      <c r="M75" s="368" t="s">
        <v>1966</v>
      </c>
      <c r="P75"/>
      <c r="Q75" s="2"/>
      <c r="R75"/>
      <c r="S75" s="2"/>
      <c r="T75"/>
      <c r="V75" s="4"/>
      <c r="W75" s="4"/>
      <c r="X75" s="4"/>
    </row>
    <row r="76" spans="2:32" ht="27" customHeight="1">
      <c r="B76" s="940"/>
      <c r="C76" s="941"/>
      <c r="D76" s="768"/>
      <c r="E76" s="790"/>
      <c r="F76" s="791"/>
      <c r="G76" s="794"/>
      <c r="H76" s="795"/>
      <c r="I76" s="797"/>
      <c r="J76" s="852" t="str">
        <f>Languages!$K$176</f>
        <v>Approx. total repair costs, m. Euro</v>
      </c>
      <c r="K76" s="853"/>
      <c r="L76" s="487">
        <f>SUM(L83:L93)</f>
        <v>137460</v>
      </c>
      <c r="M76" s="369" t="s">
        <v>1966</v>
      </c>
      <c r="P76"/>
      <c r="Q76" s="2"/>
      <c r="R76"/>
      <c r="S76" s="2"/>
      <c r="U76" s="10"/>
      <c r="V76" s="4"/>
      <c r="W76" s="4"/>
      <c r="X76" s="4"/>
    </row>
    <row r="77" spans="2:32" ht="20" customHeight="1">
      <c r="B77" s="940"/>
      <c r="C77" s="941"/>
      <c r="D77" s="768"/>
      <c r="E77" s="802" t="s">
        <v>1546</v>
      </c>
      <c r="F77" s="804" t="str">
        <f>Languages!$N$178</f>
        <v>Unit type</v>
      </c>
      <c r="G77" s="769" t="s">
        <v>2122</v>
      </c>
      <c r="H77" s="767" t="s">
        <v>2251</v>
      </c>
      <c r="I77" s="331" t="s">
        <v>2117</v>
      </c>
      <c r="J77" s="771" t="str">
        <f>Languages!$K$178</f>
        <v>Actions</v>
      </c>
      <c r="K77" s="772"/>
      <c r="L77" s="863" t="s">
        <v>1550</v>
      </c>
      <c r="M77" s="880"/>
      <c r="P77"/>
      <c r="Q77" s="2"/>
      <c r="R77"/>
      <c r="S77" s="2"/>
      <c r="U77" s="10"/>
      <c r="V77" s="4"/>
      <c r="W77" s="4"/>
      <c r="X77" s="4"/>
    </row>
    <row r="78" spans="2:32" s="4" customFormat="1" ht="25" customHeight="1" thickBot="1">
      <c r="B78" s="940"/>
      <c r="C78" s="941"/>
      <c r="D78" s="768"/>
      <c r="E78" s="803"/>
      <c r="F78" s="805"/>
      <c r="G78" s="770"/>
      <c r="H78" s="768"/>
      <c r="I78" s="330" t="str">
        <f>Languages!$E$190</f>
        <v>Social Impact level</v>
      </c>
      <c r="J78" s="492" t="str">
        <f>Languages!$K$185</f>
        <v>Action required</v>
      </c>
      <c r="K78" s="504" t="str">
        <f>Languages!$G$193</f>
        <v>Priority 
1 - 5</v>
      </c>
      <c r="L78" s="541" t="s">
        <v>1551</v>
      </c>
      <c r="M78" s="494" t="str">
        <f>Languages!$M$178&amp;" per MWe"</f>
        <v>Est. Euro per MWe</v>
      </c>
      <c r="N78"/>
      <c r="P78"/>
      <c r="R78"/>
      <c r="S78" s="2"/>
      <c r="U78" s="10"/>
      <c r="Y78"/>
      <c r="Z78"/>
      <c r="AA78"/>
      <c r="AB78"/>
      <c r="AC78"/>
      <c r="AD78"/>
      <c r="AE78"/>
      <c r="AF78"/>
    </row>
    <row r="79" spans="2:32" ht="26" customHeight="1">
      <c r="B79" s="753" t="str">
        <f>Languages!$C$214&amp;"s "</f>
        <v xml:space="preserve">Coal thermal power plants </v>
      </c>
      <c r="C79" s="754"/>
      <c r="D79" s="558" t="s">
        <v>2178</v>
      </c>
      <c r="E79" s="881">
        <v>3</v>
      </c>
      <c r="F79" s="882"/>
      <c r="G79" s="711" t="str">
        <f>G$11</f>
        <v>Asset / Component</v>
      </c>
      <c r="H79" s="734" t="s">
        <v>2123</v>
      </c>
      <c r="I79" s="583" t="s">
        <v>2103</v>
      </c>
      <c r="J79" s="711" t="s">
        <v>2212</v>
      </c>
      <c r="K79" s="721">
        <f>SUM(K83:K93)/11</f>
        <v>3.6363636363636362</v>
      </c>
      <c r="L79" s="830" t="s">
        <v>2213</v>
      </c>
      <c r="M79" s="831"/>
      <c r="P79"/>
      <c r="Q79" s="2"/>
      <c r="R79"/>
      <c r="S79"/>
      <c r="T79"/>
    </row>
    <row r="80" spans="2:32" ht="26" customHeight="1" thickBot="1">
      <c r="B80" s="755"/>
      <c r="C80" s="756"/>
      <c r="D80" s="565" t="s">
        <v>1559</v>
      </c>
      <c r="E80" s="861">
        <f>E79*E81</f>
        <v>2370</v>
      </c>
      <c r="F80" s="862"/>
      <c r="G80" s="712"/>
      <c r="H80" s="735"/>
      <c r="I80" s="346" t="s">
        <v>2120</v>
      </c>
      <c r="J80" s="712"/>
      <c r="K80" s="722"/>
      <c r="L80" s="832"/>
      <c r="M80" s="833"/>
      <c r="O80" s="28"/>
      <c r="P80"/>
      <c r="Q80" s="2"/>
      <c r="R80"/>
      <c r="S80"/>
      <c r="T80"/>
    </row>
    <row r="81" spans="2:32" s="4" customFormat="1" ht="24" hidden="1" customHeight="1" outlineLevel="1">
      <c r="B81" s="521"/>
      <c r="C81" s="751" t="s">
        <v>1767</v>
      </c>
      <c r="D81" s="752"/>
      <c r="E81" s="556">
        <v>790</v>
      </c>
      <c r="F81" s="339" t="s">
        <v>2133</v>
      </c>
      <c r="G81" s="462"/>
      <c r="H81" s="347"/>
      <c r="I81" s="347"/>
      <c r="J81" s="347"/>
      <c r="K81" s="347"/>
      <c r="L81" s="382"/>
      <c r="M81" s="374"/>
      <c r="N81"/>
      <c r="O81" s="28"/>
      <c r="P81"/>
      <c r="R81"/>
      <c r="S81" s="2"/>
      <c r="U81" s="10"/>
      <c r="Y81"/>
      <c r="Z81"/>
      <c r="AA81"/>
      <c r="AB81"/>
      <c r="AC81"/>
      <c r="AD81"/>
      <c r="AE81"/>
      <c r="AF81"/>
    </row>
    <row r="82" spans="2:32" s="4" customFormat="1" ht="30" hidden="1" customHeight="1" outlineLevel="1">
      <c r="B82" s="889" t="s">
        <v>2129</v>
      </c>
      <c r="C82" s="650"/>
      <c r="D82" s="650"/>
      <c r="E82" s="650"/>
      <c r="F82" s="650"/>
      <c r="G82" s="329" t="s">
        <v>2130</v>
      </c>
      <c r="H82" s="375" t="s">
        <v>2250</v>
      </c>
      <c r="I82" s="152"/>
      <c r="J82" s="376" t="str">
        <f>Languages!$K$185</f>
        <v>Action required</v>
      </c>
      <c r="K82" s="377" t="str">
        <f>Languages!$G$193</f>
        <v>Priority 
1 - 5</v>
      </c>
      <c r="L82" s="451" t="s">
        <v>2214</v>
      </c>
      <c r="M82" s="450" t="str">
        <f>Languages!$M$178&amp;" per MWe"</f>
        <v>Est. Euro per MWe</v>
      </c>
      <c r="N82"/>
      <c r="O82" s="28"/>
      <c r="P82"/>
      <c r="Q82" s="2"/>
      <c r="R82"/>
      <c r="S82" s="2"/>
      <c r="U82" s="10"/>
      <c r="Y82"/>
      <c r="Z82"/>
      <c r="AA82"/>
      <c r="AB82"/>
      <c r="AC82"/>
      <c r="AD82"/>
      <c r="AE82"/>
      <c r="AF82"/>
    </row>
    <row r="83" spans="2:32" s="4" customFormat="1" ht="26" hidden="1" customHeight="1" outlineLevel="1">
      <c r="B83" s="883" t="s">
        <v>2119</v>
      </c>
      <c r="C83" s="884"/>
      <c r="D83" s="884"/>
      <c r="E83" s="884"/>
      <c r="F83" s="885"/>
      <c r="G83" s="357" t="s">
        <v>1983</v>
      </c>
      <c r="H83" s="332" t="s">
        <v>2124</v>
      </c>
      <c r="I83" s="905" t="s">
        <v>2141</v>
      </c>
      <c r="J83" s="342" t="s">
        <v>1449</v>
      </c>
      <c r="K83" s="322">
        <v>4</v>
      </c>
      <c r="L83" s="383">
        <f>E$79*E$81*M83</f>
        <v>14220</v>
      </c>
      <c r="M83" s="335">
        <v>6</v>
      </c>
      <c r="N83"/>
      <c r="O83" s="28"/>
      <c r="P83"/>
      <c r="Q83" s="2"/>
      <c r="R83"/>
      <c r="S83" s="2"/>
      <c r="U83" s="10"/>
      <c r="Y83"/>
      <c r="Z83"/>
      <c r="AA83"/>
      <c r="AB83"/>
      <c r="AC83"/>
      <c r="AD83"/>
      <c r="AE83"/>
      <c r="AF83"/>
    </row>
    <row r="84" spans="2:32" s="4" customFormat="1" ht="26" hidden="1" customHeight="1" outlineLevel="1">
      <c r="B84" s="883"/>
      <c r="C84" s="884"/>
      <c r="D84" s="884"/>
      <c r="E84" s="884"/>
      <c r="F84" s="885"/>
      <c r="G84" s="238" t="s">
        <v>1540</v>
      </c>
      <c r="H84" s="333" t="s">
        <v>2124</v>
      </c>
      <c r="I84" s="905"/>
      <c r="J84" s="341" t="s">
        <v>1449</v>
      </c>
      <c r="K84" s="167">
        <v>3</v>
      </c>
      <c r="L84" s="383">
        <f t="shared" ref="L84:L93" si="7">E$79*E$81*M84</f>
        <v>9480</v>
      </c>
      <c r="M84" s="345">
        <v>4</v>
      </c>
      <c r="N84"/>
      <c r="O84" s="28"/>
      <c r="P84"/>
      <c r="Q84" s="2"/>
      <c r="R84"/>
      <c r="S84" s="2"/>
      <c r="U84" s="10"/>
      <c r="Y84"/>
      <c r="Z84"/>
      <c r="AA84"/>
      <c r="AB84"/>
      <c r="AC84"/>
      <c r="AD84"/>
      <c r="AE84"/>
      <c r="AF84"/>
    </row>
    <row r="85" spans="2:32" s="4" customFormat="1" ht="26" hidden="1" customHeight="1" outlineLevel="1">
      <c r="B85" s="883"/>
      <c r="C85" s="884"/>
      <c r="D85" s="884"/>
      <c r="E85" s="884"/>
      <c r="F85" s="885"/>
      <c r="G85" s="238" t="s">
        <v>2038</v>
      </c>
      <c r="H85" s="333" t="s">
        <v>2123</v>
      </c>
      <c r="I85" s="905"/>
      <c r="J85" s="341" t="s">
        <v>1473</v>
      </c>
      <c r="K85" s="167">
        <v>4</v>
      </c>
      <c r="L85" s="383">
        <f t="shared" si="7"/>
        <v>28440</v>
      </c>
      <c r="M85" s="345">
        <v>12</v>
      </c>
      <c r="N85"/>
      <c r="O85" s="28"/>
      <c r="P85"/>
      <c r="Q85" s="2"/>
      <c r="R85"/>
      <c r="S85" s="2"/>
      <c r="U85" s="10"/>
      <c r="Y85"/>
      <c r="Z85"/>
      <c r="AA85"/>
      <c r="AB85"/>
      <c r="AC85"/>
      <c r="AD85"/>
      <c r="AE85"/>
      <c r="AF85"/>
    </row>
    <row r="86" spans="2:32" s="4" customFormat="1" ht="26" hidden="1" customHeight="1" outlineLevel="1">
      <c r="B86" s="883"/>
      <c r="C86" s="884"/>
      <c r="D86" s="884"/>
      <c r="E86" s="884"/>
      <c r="F86" s="885"/>
      <c r="G86" s="238" t="s">
        <v>1622</v>
      </c>
      <c r="H86" s="333" t="s">
        <v>2127</v>
      </c>
      <c r="I86" s="905"/>
      <c r="J86" s="341" t="s">
        <v>1454</v>
      </c>
      <c r="K86" s="167">
        <v>5</v>
      </c>
      <c r="L86" s="383">
        <f t="shared" si="7"/>
        <v>56880</v>
      </c>
      <c r="M86" s="345">
        <v>24</v>
      </c>
      <c r="N86"/>
      <c r="O86" s="28"/>
      <c r="P86"/>
      <c r="Q86" s="2"/>
      <c r="R86"/>
      <c r="S86" s="2"/>
      <c r="U86" s="10"/>
      <c r="Y86"/>
      <c r="Z86"/>
      <c r="AA86"/>
      <c r="AB86"/>
      <c r="AC86"/>
      <c r="AD86"/>
      <c r="AE86"/>
      <c r="AF86"/>
    </row>
    <row r="87" spans="2:32" s="4" customFormat="1" ht="26" hidden="1" customHeight="1" outlineLevel="1">
      <c r="B87" s="883"/>
      <c r="C87" s="884"/>
      <c r="D87" s="884"/>
      <c r="E87" s="884"/>
      <c r="F87" s="885"/>
      <c r="G87" s="153" t="s">
        <v>1977</v>
      </c>
      <c r="H87" s="333" t="s">
        <v>2125</v>
      </c>
      <c r="I87" s="905"/>
      <c r="J87" s="341" t="s">
        <v>1454</v>
      </c>
      <c r="K87" s="167">
        <v>3</v>
      </c>
      <c r="L87" s="383">
        <f t="shared" si="7"/>
        <v>2370</v>
      </c>
      <c r="M87" s="345">
        <v>1</v>
      </c>
      <c r="N87"/>
      <c r="O87" s="28"/>
      <c r="P87"/>
      <c r="Q87" s="2"/>
      <c r="R87"/>
      <c r="S87" s="2"/>
      <c r="U87" s="10"/>
      <c r="Y87"/>
      <c r="Z87"/>
      <c r="AA87"/>
      <c r="AB87"/>
      <c r="AC87"/>
      <c r="AD87"/>
      <c r="AE87"/>
      <c r="AF87"/>
    </row>
    <row r="88" spans="2:32" s="4" customFormat="1" ht="26" hidden="1" customHeight="1" outlineLevel="1">
      <c r="B88" s="883"/>
      <c r="C88" s="884"/>
      <c r="D88" s="884"/>
      <c r="E88" s="884"/>
      <c r="F88" s="885"/>
      <c r="G88" s="153" t="s">
        <v>1978</v>
      </c>
      <c r="H88" s="333" t="s">
        <v>2123</v>
      </c>
      <c r="I88" s="905"/>
      <c r="J88" s="341" t="s">
        <v>1454</v>
      </c>
      <c r="K88" s="167">
        <v>3</v>
      </c>
      <c r="L88" s="383">
        <f t="shared" si="7"/>
        <v>4740</v>
      </c>
      <c r="M88" s="345">
        <v>2</v>
      </c>
      <c r="N88"/>
      <c r="O88" s="28"/>
      <c r="P88"/>
      <c r="Q88" s="2"/>
      <c r="R88"/>
      <c r="S88" s="2"/>
      <c r="U88" s="10"/>
      <c r="Y88"/>
      <c r="Z88"/>
      <c r="AA88"/>
      <c r="AB88"/>
      <c r="AC88"/>
      <c r="AD88"/>
      <c r="AE88"/>
      <c r="AF88"/>
    </row>
    <row r="89" spans="2:32" s="4" customFormat="1" ht="26" hidden="1" customHeight="1" outlineLevel="1">
      <c r="B89" s="883"/>
      <c r="C89" s="884"/>
      <c r="D89" s="884"/>
      <c r="E89" s="884"/>
      <c r="F89" s="885"/>
      <c r="G89" s="153" t="s">
        <v>1982</v>
      </c>
      <c r="H89" s="333" t="s">
        <v>2125</v>
      </c>
      <c r="I89" s="905"/>
      <c r="J89" s="341" t="s">
        <v>1446</v>
      </c>
      <c r="K89" s="167">
        <v>5</v>
      </c>
      <c r="L89" s="383">
        <f t="shared" si="7"/>
        <v>7110</v>
      </c>
      <c r="M89" s="345">
        <v>3</v>
      </c>
      <c r="N89"/>
      <c r="O89" s="28"/>
      <c r="P89"/>
      <c r="Q89" s="2"/>
      <c r="R89"/>
      <c r="S89" s="2"/>
      <c r="U89" s="10"/>
      <c r="Y89"/>
      <c r="Z89"/>
      <c r="AA89"/>
      <c r="AB89"/>
      <c r="AC89"/>
      <c r="AD89"/>
      <c r="AE89"/>
      <c r="AF89"/>
    </row>
    <row r="90" spans="2:32" s="4" customFormat="1" ht="26" hidden="1" customHeight="1" outlineLevel="1">
      <c r="B90" s="883"/>
      <c r="C90" s="884"/>
      <c r="D90" s="884"/>
      <c r="E90" s="884"/>
      <c r="F90" s="885"/>
      <c r="G90" s="153" t="s">
        <v>1981</v>
      </c>
      <c r="H90" s="333" t="s">
        <v>2127</v>
      </c>
      <c r="I90" s="905"/>
      <c r="J90" s="341" t="s">
        <v>1448</v>
      </c>
      <c r="K90" s="167">
        <v>3</v>
      </c>
      <c r="L90" s="383">
        <f t="shared" si="7"/>
        <v>9480</v>
      </c>
      <c r="M90" s="345">
        <v>4</v>
      </c>
      <c r="N90"/>
      <c r="O90" s="28"/>
      <c r="P90"/>
      <c r="Q90" s="2"/>
      <c r="R90"/>
      <c r="S90" s="2"/>
      <c r="U90" s="10"/>
      <c r="Y90"/>
      <c r="Z90"/>
      <c r="AA90"/>
      <c r="AB90"/>
      <c r="AC90"/>
      <c r="AD90"/>
      <c r="AE90"/>
      <c r="AF90"/>
    </row>
    <row r="91" spans="2:32" s="4" customFormat="1" ht="26" hidden="1" customHeight="1" outlineLevel="1">
      <c r="B91" s="883"/>
      <c r="C91" s="884"/>
      <c r="D91" s="884"/>
      <c r="E91" s="884"/>
      <c r="F91" s="885"/>
      <c r="G91" s="153" t="s">
        <v>1979</v>
      </c>
      <c r="H91" s="333" t="s">
        <v>2127</v>
      </c>
      <c r="I91" s="905"/>
      <c r="J91" s="341" t="s">
        <v>1448</v>
      </c>
      <c r="K91" s="167">
        <v>4</v>
      </c>
      <c r="L91" s="383">
        <f t="shared" si="7"/>
        <v>2370</v>
      </c>
      <c r="M91" s="345">
        <v>1</v>
      </c>
      <c r="N91"/>
      <c r="O91" s="28"/>
      <c r="P91"/>
      <c r="Q91" s="2"/>
      <c r="R91"/>
      <c r="S91" s="2"/>
      <c r="U91" s="10"/>
      <c r="Y91"/>
      <c r="Z91"/>
      <c r="AA91"/>
      <c r="AB91"/>
      <c r="AC91"/>
      <c r="AD91"/>
      <c r="AE91"/>
      <c r="AF91"/>
    </row>
    <row r="92" spans="2:32" s="4" customFormat="1" ht="26" hidden="1" customHeight="1" outlineLevel="1">
      <c r="B92" s="883"/>
      <c r="C92" s="884"/>
      <c r="D92" s="884"/>
      <c r="E92" s="884"/>
      <c r="F92" s="885"/>
      <c r="G92" s="153" t="s">
        <v>1980</v>
      </c>
      <c r="H92" s="333" t="s">
        <v>2125</v>
      </c>
      <c r="I92" s="905"/>
      <c r="J92" s="341" t="s">
        <v>1454</v>
      </c>
      <c r="K92" s="167">
        <v>3</v>
      </c>
      <c r="L92" s="383">
        <f t="shared" si="7"/>
        <v>2370</v>
      </c>
      <c r="M92" s="345">
        <v>1</v>
      </c>
      <c r="N92"/>
      <c r="O92" s="28"/>
      <c r="P92"/>
      <c r="Q92" s="2"/>
      <c r="R92"/>
      <c r="S92" s="2"/>
      <c r="U92" s="10"/>
      <c r="Y92"/>
      <c r="Z92"/>
      <c r="AA92"/>
      <c r="AB92"/>
      <c r="AC92"/>
      <c r="AD92"/>
      <c r="AE92"/>
      <c r="AF92"/>
    </row>
    <row r="93" spans="2:32" s="4" customFormat="1" ht="26" hidden="1" customHeight="1" outlineLevel="1" thickBot="1">
      <c r="B93" s="886"/>
      <c r="C93" s="887"/>
      <c r="D93" s="887"/>
      <c r="E93" s="887"/>
      <c r="F93" s="888"/>
      <c r="G93" s="349"/>
      <c r="H93" s="352"/>
      <c r="I93" s="906"/>
      <c r="J93" s="353"/>
      <c r="K93" s="167">
        <v>3</v>
      </c>
      <c r="L93" s="383">
        <f t="shared" si="7"/>
        <v>0</v>
      </c>
      <c r="M93" s="345">
        <v>0</v>
      </c>
      <c r="N93"/>
      <c r="O93" s="28"/>
      <c r="P93"/>
      <c r="Q93" s="2"/>
      <c r="R93"/>
      <c r="S93" s="2"/>
      <c r="U93" s="10"/>
      <c r="Y93"/>
      <c r="Z93"/>
      <c r="AA93"/>
      <c r="AB93"/>
      <c r="AC93"/>
      <c r="AD93"/>
      <c r="AE93"/>
      <c r="AF93"/>
    </row>
    <row r="94" spans="2:32" ht="15" customHeight="1" collapsed="1" thickBot="1">
      <c r="B94" s="163" t="s">
        <v>46</v>
      </c>
      <c r="C94" s="163"/>
      <c r="D94" s="163"/>
      <c r="E94" s="163"/>
      <c r="F94" s="163"/>
      <c r="G94" s="253"/>
      <c r="H94" s="12"/>
      <c r="I94" s="12"/>
      <c r="J94" s="12"/>
      <c r="K94" s="12"/>
      <c r="L94" s="370"/>
      <c r="M94" s="370"/>
      <c r="O94"/>
      <c r="P94"/>
      <c r="Q94" s="2"/>
      <c r="R94"/>
      <c r="S94" s="2"/>
      <c r="U94" s="10"/>
      <c r="V94" s="4"/>
      <c r="W94" s="4"/>
      <c r="X94" s="4"/>
    </row>
    <row r="95" spans="2:32" ht="28" customHeight="1" thickBot="1">
      <c r="B95" s="765" t="str">
        <f>B$2</f>
        <v>Damage Assessments for Sustainable Reconstruction in Ukraine</v>
      </c>
      <c r="C95" s="766"/>
      <c r="D95" s="766"/>
      <c r="E95" s="766"/>
      <c r="F95" s="766"/>
      <c r="G95" s="766"/>
      <c r="H95" s="766"/>
      <c r="I95" s="784" t="str">
        <f>I$8</f>
        <v>Irpin Urban Area</v>
      </c>
      <c r="J95" s="785"/>
      <c r="K95" s="786"/>
      <c r="L95" s="371" t="str">
        <f>L$2</f>
        <v>27Jan23</v>
      </c>
      <c r="M95" s="164">
        <v>6</v>
      </c>
      <c r="P95"/>
      <c r="Q95" s="2"/>
      <c r="R95"/>
      <c r="S95" s="2"/>
      <c r="T95"/>
      <c r="V95" s="4"/>
      <c r="W95" s="4"/>
      <c r="X95" s="4"/>
    </row>
    <row r="96" spans="2:32" ht="27" customHeight="1">
      <c r="B96" s="938" t="str">
        <f>Languages!$C$185&amp;" 2"</f>
        <v>Public utilities and services 2</v>
      </c>
      <c r="C96" s="939"/>
      <c r="D96" s="787" t="str">
        <f>Languages!$N$176</f>
        <v>Information on main asset &amp; sub-assets</v>
      </c>
      <c r="E96" s="788" t="str">
        <f>Languages!$I$188</f>
        <v>Area and/or quantity assessed</v>
      </c>
      <c r="F96" s="789"/>
      <c r="G96" s="792" t="str">
        <f>Languages!$M$194</f>
        <v>Enter info on type and area / quantity of assets, type and extent of damage.</v>
      </c>
      <c r="H96" s="793"/>
      <c r="I96" s="796" t="s">
        <v>2118</v>
      </c>
      <c r="J96" s="798" t="str">
        <f>Languages!$K$177</f>
        <v>Approx. repair costs, priority 4 &amp; 5 assets, m. Euro</v>
      </c>
      <c r="K96" s="799"/>
      <c r="L96" s="486">
        <f>IF(K104&gt;3,L104,0)+IF(K105&gt;3,L105,0)+IF(K106&gt;3,L106,0)+IF(K107&gt;3,L107,0)+IF(K108&gt;3,L108,0)+IF(K109&gt;3,L109,0)+IF(K110&gt;3,L110,0)+IF(K111&gt;3,L111,0)+IF(K112&gt;3,L112,0)+IF(K113&gt;3,L113,0)+IF(K114&gt;3,L114,0)+IF(K115&gt;3,L115,0)+IF(K116&gt;3,L116,0)</f>
        <v>56070</v>
      </c>
      <c r="M96" s="368" t="s">
        <v>1966</v>
      </c>
      <c r="P96"/>
      <c r="Q96" s="2"/>
      <c r="R96"/>
      <c r="S96" s="2"/>
      <c r="T96"/>
      <c r="V96" s="4"/>
      <c r="W96" s="4"/>
      <c r="X96" s="4"/>
    </row>
    <row r="97" spans="2:32" ht="27" customHeight="1">
      <c r="B97" s="940"/>
      <c r="C97" s="941"/>
      <c r="D97" s="768"/>
      <c r="E97" s="790"/>
      <c r="F97" s="791"/>
      <c r="G97" s="794"/>
      <c r="H97" s="795"/>
      <c r="I97" s="797"/>
      <c r="J97" s="800" t="str">
        <f>Languages!$K$176</f>
        <v>Approx. total repair costs, m. Euro</v>
      </c>
      <c r="K97" s="801"/>
      <c r="L97" s="487">
        <f>SUM(L104:L116)</f>
        <v>69300</v>
      </c>
      <c r="M97" s="369" t="s">
        <v>1966</v>
      </c>
      <c r="P97"/>
      <c r="Q97" s="2"/>
      <c r="R97"/>
      <c r="S97" s="2"/>
      <c r="U97" s="10"/>
      <c r="V97" s="4"/>
      <c r="W97" s="4"/>
      <c r="X97" s="4"/>
    </row>
    <row r="98" spans="2:32" ht="20" customHeight="1">
      <c r="B98" s="940"/>
      <c r="C98" s="941"/>
      <c r="D98" s="768"/>
      <c r="E98" s="802" t="s">
        <v>1546</v>
      </c>
      <c r="F98" s="804" t="str">
        <f>Languages!$N$178</f>
        <v>Unit type</v>
      </c>
      <c r="G98" s="769" t="str">
        <f>G$77</f>
        <v>Asset or Component</v>
      </c>
      <c r="H98" s="767" t="s">
        <v>2251</v>
      </c>
      <c r="I98" s="331" t="s">
        <v>2117</v>
      </c>
      <c r="J98" s="771" t="str">
        <f>Languages!$K$178</f>
        <v>Actions</v>
      </c>
      <c r="K98" s="772"/>
      <c r="L98" s="863" t="s">
        <v>1550</v>
      </c>
      <c r="M98" s="880"/>
      <c r="P98"/>
      <c r="Q98" s="2"/>
      <c r="R98"/>
      <c r="S98" s="2"/>
      <c r="U98" s="10"/>
      <c r="V98" s="4"/>
      <c r="W98" s="4"/>
      <c r="X98" s="4"/>
    </row>
    <row r="99" spans="2:32" s="4" customFormat="1" ht="25" customHeight="1" thickBot="1">
      <c r="B99" s="940"/>
      <c r="C99" s="941"/>
      <c r="D99" s="768"/>
      <c r="E99" s="803"/>
      <c r="F99" s="805"/>
      <c r="G99" s="770"/>
      <c r="H99" s="768"/>
      <c r="I99" s="330" t="str">
        <f>Languages!$E$190</f>
        <v>Social Impact level</v>
      </c>
      <c r="J99" s="492" t="str">
        <f>Languages!$K$185</f>
        <v>Action required</v>
      </c>
      <c r="K99" s="504" t="str">
        <f>Languages!$G$193</f>
        <v>Priority 
1 - 5</v>
      </c>
      <c r="L99" s="541" t="s">
        <v>1551</v>
      </c>
      <c r="M99" s="494" t="str">
        <f>Languages!$M$178&amp;" per MWe"</f>
        <v>Est. Euro per MWe</v>
      </c>
      <c r="N99"/>
      <c r="P99"/>
      <c r="R99"/>
      <c r="S99" s="2"/>
      <c r="U99" s="10"/>
      <c r="Y99"/>
      <c r="Z99"/>
      <c r="AA99"/>
      <c r="AB99"/>
      <c r="AC99"/>
      <c r="AD99"/>
      <c r="AE99"/>
      <c r="AF99"/>
    </row>
    <row r="100" spans="2:32" ht="28" customHeight="1">
      <c r="B100" s="753" t="str">
        <f>Languages!$C$215</f>
        <v>Hydroelectric power plant</v>
      </c>
      <c r="C100" s="754"/>
      <c r="D100" s="558" t="s">
        <v>2178</v>
      </c>
      <c r="E100" s="817">
        <v>1</v>
      </c>
      <c r="F100" s="818"/>
      <c r="G100" s="711" t="str">
        <f>G$11</f>
        <v>Asset / Component</v>
      </c>
      <c r="H100" s="734" t="s">
        <v>2123</v>
      </c>
      <c r="I100" s="545" t="s">
        <v>2103</v>
      </c>
      <c r="J100" s="711" t="s">
        <v>2212</v>
      </c>
      <c r="K100" s="721">
        <f>SUM(K104:K116)/13</f>
        <v>4.1538461538461542</v>
      </c>
      <c r="L100" s="830" t="s">
        <v>2213</v>
      </c>
      <c r="M100" s="831"/>
      <c r="P100"/>
      <c r="Q100" s="2"/>
      <c r="R100"/>
      <c r="S100"/>
      <c r="T100"/>
    </row>
    <row r="101" spans="2:32" ht="24" customHeight="1" thickBot="1">
      <c r="B101" s="755"/>
      <c r="C101" s="756"/>
      <c r="D101" s="565" t="s">
        <v>1559</v>
      </c>
      <c r="E101" s="861">
        <f>E100*E102</f>
        <v>630</v>
      </c>
      <c r="F101" s="862"/>
      <c r="G101" s="712"/>
      <c r="H101" s="735"/>
      <c r="I101" s="380" t="s">
        <v>2120</v>
      </c>
      <c r="J101" s="712"/>
      <c r="K101" s="722"/>
      <c r="L101" s="832"/>
      <c r="M101" s="833"/>
      <c r="O101" s="28"/>
      <c r="P101"/>
      <c r="Q101" s="2"/>
      <c r="R101"/>
      <c r="S101"/>
      <c r="T101"/>
    </row>
    <row r="102" spans="2:32" s="4" customFormat="1" ht="24" hidden="1" customHeight="1" outlineLevel="1">
      <c r="B102" s="521"/>
      <c r="C102" s="751" t="s">
        <v>1767</v>
      </c>
      <c r="D102" s="752"/>
      <c r="E102" s="557">
        <v>630</v>
      </c>
      <c r="F102" s="339" t="s">
        <v>1766</v>
      </c>
      <c r="G102" s="381"/>
      <c r="H102" s="347"/>
      <c r="I102" s="347"/>
      <c r="J102" s="347"/>
      <c r="K102" s="347"/>
      <c r="L102" s="382"/>
      <c r="M102" s="374"/>
      <c r="N102"/>
      <c r="O102" s="28"/>
      <c r="P102"/>
      <c r="R102"/>
      <c r="S102" s="2"/>
      <c r="U102" s="10"/>
      <c r="Y102"/>
      <c r="Z102"/>
      <c r="AA102"/>
      <c r="AB102"/>
      <c r="AC102"/>
      <c r="AD102"/>
      <c r="AE102"/>
      <c r="AF102"/>
    </row>
    <row r="103" spans="2:32" s="4" customFormat="1" ht="29" hidden="1" customHeight="1" outlineLevel="1">
      <c r="B103" s="889" t="s">
        <v>2014</v>
      </c>
      <c r="C103" s="650"/>
      <c r="D103" s="650"/>
      <c r="E103" s="650"/>
      <c r="F103" s="650"/>
      <c r="G103" s="329" t="s">
        <v>2130</v>
      </c>
      <c r="H103" s="375" t="s">
        <v>2250</v>
      </c>
      <c r="I103" s="379"/>
      <c r="J103" s="376" t="str">
        <f>Languages!$K$185</f>
        <v>Action required</v>
      </c>
      <c r="K103" s="377" t="str">
        <f>Languages!$G$193</f>
        <v>Priority 
1 - 5</v>
      </c>
      <c r="L103" s="449" t="s">
        <v>2214</v>
      </c>
      <c r="M103" s="450" t="str">
        <f>Languages!$M$178&amp;" per MWe"</f>
        <v>Est. Euro per MWe</v>
      </c>
      <c r="N103"/>
      <c r="O103" s="28"/>
      <c r="P103"/>
      <c r="Q103" s="2"/>
      <c r="R103"/>
      <c r="S103" s="2"/>
      <c r="U103" s="10"/>
      <c r="Y103"/>
      <c r="Z103"/>
      <c r="AA103"/>
      <c r="AB103"/>
      <c r="AC103"/>
      <c r="AD103"/>
      <c r="AE103"/>
      <c r="AF103"/>
    </row>
    <row r="104" spans="2:32" s="4" customFormat="1" ht="24" hidden="1" customHeight="1" outlineLevel="1">
      <c r="B104" s="883" t="s">
        <v>1999</v>
      </c>
      <c r="C104" s="884"/>
      <c r="D104" s="884"/>
      <c r="E104" s="884"/>
      <c r="F104" s="885"/>
      <c r="G104" s="357" t="s">
        <v>1540</v>
      </c>
      <c r="H104" s="332" t="s">
        <v>2124</v>
      </c>
      <c r="I104" s="903" t="s">
        <v>2141</v>
      </c>
      <c r="J104" s="343" t="s">
        <v>1449</v>
      </c>
      <c r="K104" s="322">
        <v>5</v>
      </c>
      <c r="L104" s="383">
        <f>E$100*E$102*M104</f>
        <v>1890</v>
      </c>
      <c r="M104" s="335">
        <v>3</v>
      </c>
      <c r="N104"/>
      <c r="O104" s="28"/>
      <c r="P104"/>
      <c r="Q104" s="2"/>
      <c r="R104"/>
      <c r="S104" s="2"/>
      <c r="U104" s="10"/>
      <c r="Y104"/>
      <c r="Z104"/>
      <c r="AA104"/>
      <c r="AB104"/>
      <c r="AC104"/>
      <c r="AD104"/>
      <c r="AE104"/>
      <c r="AF104"/>
    </row>
    <row r="105" spans="2:32" s="4" customFormat="1" ht="24" hidden="1" customHeight="1" outlineLevel="1">
      <c r="B105" s="883"/>
      <c r="C105" s="884"/>
      <c r="D105" s="884"/>
      <c r="E105" s="884"/>
      <c r="F105" s="885"/>
      <c r="G105" s="238" t="s">
        <v>1525</v>
      </c>
      <c r="H105" s="333" t="s">
        <v>2124</v>
      </c>
      <c r="I105" s="903"/>
      <c r="J105" s="169" t="s">
        <v>1449</v>
      </c>
      <c r="K105" s="167">
        <v>3</v>
      </c>
      <c r="L105" s="383">
        <f t="shared" ref="L105:L116" si="8">E$100*E$102*M105</f>
        <v>3780</v>
      </c>
      <c r="M105" s="345">
        <v>6</v>
      </c>
      <c r="N105"/>
      <c r="O105" s="28"/>
      <c r="P105"/>
      <c r="Q105" s="2"/>
      <c r="R105"/>
      <c r="S105" s="2"/>
      <c r="U105" s="10"/>
      <c r="Y105"/>
      <c r="Z105"/>
      <c r="AA105"/>
      <c r="AB105"/>
      <c r="AC105"/>
      <c r="AD105"/>
      <c r="AE105"/>
      <c r="AF105"/>
    </row>
    <row r="106" spans="2:32" s="4" customFormat="1" ht="24" hidden="1" customHeight="1" outlineLevel="1">
      <c r="B106" s="883"/>
      <c r="C106" s="884"/>
      <c r="D106" s="884"/>
      <c r="E106" s="884"/>
      <c r="F106" s="885"/>
      <c r="G106" s="238" t="s">
        <v>1622</v>
      </c>
      <c r="H106" s="333" t="s">
        <v>2123</v>
      </c>
      <c r="I106" s="903"/>
      <c r="J106" s="169" t="s">
        <v>1449</v>
      </c>
      <c r="K106" s="167">
        <v>5</v>
      </c>
      <c r="L106" s="383">
        <f t="shared" si="8"/>
        <v>2520</v>
      </c>
      <c r="M106" s="345">
        <v>4</v>
      </c>
      <c r="N106"/>
      <c r="O106" s="28"/>
      <c r="P106"/>
      <c r="Q106" s="2"/>
      <c r="R106"/>
      <c r="S106" s="2"/>
      <c r="U106" s="10"/>
      <c r="Y106"/>
      <c r="Z106"/>
      <c r="AA106"/>
      <c r="AB106"/>
      <c r="AC106"/>
      <c r="AD106"/>
      <c r="AE106"/>
      <c r="AF106"/>
    </row>
    <row r="107" spans="2:32" s="4" customFormat="1" ht="24" hidden="1" customHeight="1" outlineLevel="1">
      <c r="B107" s="325"/>
      <c r="C107" s="326"/>
      <c r="D107" s="326"/>
      <c r="E107" s="326"/>
      <c r="F107" s="327"/>
      <c r="G107" s="238" t="s">
        <v>431</v>
      </c>
      <c r="H107" s="333" t="s">
        <v>2127</v>
      </c>
      <c r="I107" s="903"/>
      <c r="J107" s="169" t="s">
        <v>1454</v>
      </c>
      <c r="K107" s="167">
        <v>4</v>
      </c>
      <c r="L107" s="383">
        <f t="shared" si="8"/>
        <v>8820</v>
      </c>
      <c r="M107" s="345">
        <v>14</v>
      </c>
      <c r="N107"/>
      <c r="O107" s="28"/>
      <c r="P107"/>
      <c r="Q107" s="2"/>
      <c r="R107"/>
      <c r="S107" s="2"/>
      <c r="U107" s="10"/>
      <c r="Y107"/>
      <c r="Z107"/>
      <c r="AA107"/>
      <c r="AB107"/>
      <c r="AC107"/>
      <c r="AD107"/>
      <c r="AE107"/>
      <c r="AF107"/>
    </row>
    <row r="108" spans="2:32" s="4" customFormat="1" ht="24" hidden="1" customHeight="1" outlineLevel="1">
      <c r="B108" s="325"/>
      <c r="C108" s="326"/>
      <c r="D108" s="326"/>
      <c r="E108" s="326"/>
      <c r="F108" s="327"/>
      <c r="G108" s="153" t="s">
        <v>1991</v>
      </c>
      <c r="H108" s="333" t="s">
        <v>2125</v>
      </c>
      <c r="I108" s="903"/>
      <c r="J108" s="169" t="s">
        <v>1449</v>
      </c>
      <c r="K108" s="167">
        <v>3</v>
      </c>
      <c r="L108" s="383">
        <f t="shared" si="8"/>
        <v>630</v>
      </c>
      <c r="M108" s="345">
        <v>1</v>
      </c>
      <c r="N108"/>
      <c r="O108" s="28"/>
      <c r="P108"/>
      <c r="Q108" s="2"/>
      <c r="R108"/>
      <c r="S108" s="2"/>
      <c r="U108" s="10"/>
      <c r="Y108"/>
      <c r="Z108"/>
      <c r="AA108"/>
      <c r="AB108"/>
      <c r="AC108"/>
      <c r="AD108"/>
      <c r="AE108"/>
      <c r="AF108"/>
    </row>
    <row r="109" spans="2:32" s="4" customFormat="1" ht="24" hidden="1" customHeight="1" outlineLevel="1">
      <c r="B109" s="325"/>
      <c r="C109" s="326"/>
      <c r="D109" s="326"/>
      <c r="E109" s="326"/>
      <c r="F109" s="327"/>
      <c r="G109" s="153" t="s">
        <v>1992</v>
      </c>
      <c r="H109" s="333" t="s">
        <v>2123</v>
      </c>
      <c r="I109" s="903"/>
      <c r="J109" s="169" t="s">
        <v>1449</v>
      </c>
      <c r="K109" s="167">
        <v>3</v>
      </c>
      <c r="L109" s="383">
        <f t="shared" si="8"/>
        <v>8820</v>
      </c>
      <c r="M109" s="345">
        <v>14</v>
      </c>
      <c r="N109"/>
      <c r="O109" s="28"/>
      <c r="P109"/>
      <c r="Q109" s="2"/>
      <c r="R109"/>
      <c r="S109" s="2"/>
      <c r="U109" s="10"/>
      <c r="Y109"/>
      <c r="Z109"/>
      <c r="AA109"/>
      <c r="AB109"/>
      <c r="AC109"/>
      <c r="AD109"/>
      <c r="AE109"/>
      <c r="AF109"/>
    </row>
    <row r="110" spans="2:32" s="4" customFormat="1" ht="24" hidden="1" customHeight="1" outlineLevel="1">
      <c r="B110" s="325"/>
      <c r="C110" s="326"/>
      <c r="D110" s="326"/>
      <c r="E110" s="326"/>
      <c r="F110" s="327"/>
      <c r="G110" s="153" t="s">
        <v>1993</v>
      </c>
      <c r="H110" s="333" t="s">
        <v>2125</v>
      </c>
      <c r="I110" s="903"/>
      <c r="J110" s="169" t="s">
        <v>1449</v>
      </c>
      <c r="K110" s="167">
        <v>4</v>
      </c>
      <c r="L110" s="383">
        <f t="shared" si="8"/>
        <v>1260</v>
      </c>
      <c r="M110" s="345">
        <v>2</v>
      </c>
      <c r="N110"/>
      <c r="O110" s="28"/>
      <c r="P110"/>
      <c r="Q110" s="2"/>
      <c r="R110"/>
      <c r="S110" s="2"/>
      <c r="U110" s="10"/>
      <c r="Y110"/>
      <c r="Z110"/>
      <c r="AA110"/>
      <c r="AB110"/>
      <c r="AC110"/>
      <c r="AD110"/>
      <c r="AE110"/>
      <c r="AF110"/>
    </row>
    <row r="111" spans="2:32" s="4" customFormat="1" ht="24" hidden="1" customHeight="1" outlineLevel="1">
      <c r="B111" s="325"/>
      <c r="C111" s="326"/>
      <c r="D111" s="326"/>
      <c r="E111" s="326"/>
      <c r="F111" s="327"/>
      <c r="G111" s="153" t="s">
        <v>1994</v>
      </c>
      <c r="H111" s="333" t="s">
        <v>2127</v>
      </c>
      <c r="I111" s="903"/>
      <c r="J111" s="169" t="s">
        <v>1446</v>
      </c>
      <c r="K111" s="167">
        <v>5</v>
      </c>
      <c r="L111" s="383">
        <f t="shared" si="8"/>
        <v>1890</v>
      </c>
      <c r="M111" s="345">
        <v>3</v>
      </c>
      <c r="N111"/>
      <c r="O111" s="28"/>
      <c r="P111"/>
      <c r="Q111" s="2"/>
      <c r="R111"/>
      <c r="S111" s="2"/>
      <c r="U111" s="10"/>
      <c r="Y111"/>
      <c r="Z111"/>
      <c r="AA111"/>
      <c r="AB111"/>
      <c r="AC111"/>
      <c r="AD111"/>
      <c r="AE111"/>
      <c r="AF111"/>
    </row>
    <row r="112" spans="2:32" s="4" customFormat="1" ht="24" hidden="1" customHeight="1" outlineLevel="1">
      <c r="B112" s="325"/>
      <c r="C112" s="326"/>
      <c r="D112" s="326"/>
      <c r="E112" s="326"/>
      <c r="F112" s="327"/>
      <c r="G112" s="153" t="s">
        <v>1995</v>
      </c>
      <c r="H112" s="333" t="s">
        <v>2127</v>
      </c>
      <c r="I112" s="903"/>
      <c r="J112" s="169" t="s">
        <v>1454</v>
      </c>
      <c r="K112" s="167">
        <v>5</v>
      </c>
      <c r="L112" s="383">
        <f t="shared" si="8"/>
        <v>27720</v>
      </c>
      <c r="M112" s="345">
        <v>44</v>
      </c>
      <c r="N112"/>
      <c r="O112" s="28"/>
      <c r="P112"/>
      <c r="Q112" s="2"/>
      <c r="R112"/>
      <c r="S112" s="2"/>
      <c r="U112" s="10"/>
      <c r="Y112"/>
      <c r="Z112"/>
      <c r="AA112"/>
      <c r="AB112"/>
      <c r="AC112"/>
      <c r="AD112"/>
      <c r="AE112"/>
      <c r="AF112"/>
    </row>
    <row r="113" spans="2:32" s="4" customFormat="1" ht="24" hidden="1" customHeight="1" outlineLevel="1">
      <c r="B113" s="325"/>
      <c r="C113" s="326"/>
      <c r="D113" s="326"/>
      <c r="E113" s="326"/>
      <c r="F113" s="326"/>
      <c r="G113" s="153" t="s">
        <v>1996</v>
      </c>
      <c r="H113" s="333" t="s">
        <v>2125</v>
      </c>
      <c r="I113" s="903"/>
      <c r="J113" s="169" t="s">
        <v>1449</v>
      </c>
      <c r="K113" s="167">
        <v>5</v>
      </c>
      <c r="L113" s="383">
        <f t="shared" si="8"/>
        <v>7560</v>
      </c>
      <c r="M113" s="345">
        <v>12</v>
      </c>
      <c r="N113"/>
      <c r="O113" s="28"/>
      <c r="P113"/>
      <c r="Q113" s="2"/>
      <c r="R113"/>
      <c r="S113" s="2"/>
      <c r="U113" s="10"/>
      <c r="Y113"/>
      <c r="Z113"/>
      <c r="AA113"/>
      <c r="AB113"/>
      <c r="AC113"/>
      <c r="AD113"/>
      <c r="AE113"/>
      <c r="AF113"/>
    </row>
    <row r="114" spans="2:32" s="4" customFormat="1" ht="24" hidden="1" customHeight="1" outlineLevel="1">
      <c r="B114" s="325"/>
      <c r="C114" s="326"/>
      <c r="D114" s="326"/>
      <c r="E114" s="326"/>
      <c r="F114" s="326"/>
      <c r="G114" s="153" t="s">
        <v>1997</v>
      </c>
      <c r="H114" s="333"/>
      <c r="I114" s="903"/>
      <c r="J114" s="169" t="s">
        <v>1448</v>
      </c>
      <c r="K114" s="167">
        <v>5</v>
      </c>
      <c r="L114" s="383">
        <f t="shared" si="8"/>
        <v>1260</v>
      </c>
      <c r="M114" s="345">
        <v>2</v>
      </c>
      <c r="N114"/>
      <c r="O114" s="28"/>
      <c r="P114"/>
      <c r="Q114" s="2"/>
      <c r="R114"/>
      <c r="S114" s="2"/>
      <c r="U114" s="10"/>
      <c r="Y114"/>
      <c r="Z114"/>
      <c r="AA114"/>
      <c r="AB114"/>
      <c r="AC114"/>
      <c r="AD114"/>
      <c r="AE114"/>
      <c r="AF114"/>
    </row>
    <row r="115" spans="2:32" s="4" customFormat="1" ht="24" hidden="1" customHeight="1" outlineLevel="1">
      <c r="B115" s="325"/>
      <c r="C115" s="326"/>
      <c r="D115" s="326"/>
      <c r="E115" s="326"/>
      <c r="F115" s="326"/>
      <c r="G115" s="153" t="s">
        <v>1998</v>
      </c>
      <c r="H115" s="333"/>
      <c r="I115" s="903"/>
      <c r="J115" s="169" t="s">
        <v>1449</v>
      </c>
      <c r="K115" s="167">
        <v>4</v>
      </c>
      <c r="L115" s="383">
        <f t="shared" si="8"/>
        <v>3150</v>
      </c>
      <c r="M115" s="345">
        <v>5</v>
      </c>
      <c r="N115"/>
      <c r="O115" s="28"/>
      <c r="P115"/>
      <c r="Q115" s="2"/>
      <c r="R115"/>
      <c r="S115" s="2"/>
      <c r="U115" s="10"/>
      <c r="Y115"/>
      <c r="Z115"/>
      <c r="AA115"/>
      <c r="AB115"/>
      <c r="AC115"/>
      <c r="AD115"/>
      <c r="AE115"/>
      <c r="AF115"/>
    </row>
    <row r="116" spans="2:32" s="4" customFormat="1" ht="24" hidden="1" customHeight="1" outlineLevel="1" thickBot="1">
      <c r="B116" s="325"/>
      <c r="C116" s="326"/>
      <c r="D116" s="326"/>
      <c r="E116" s="326"/>
      <c r="F116" s="326"/>
      <c r="G116" s="153"/>
      <c r="H116" s="354"/>
      <c r="I116" s="904"/>
      <c r="J116" s="169"/>
      <c r="K116" s="167">
        <v>3</v>
      </c>
      <c r="L116" s="383">
        <f t="shared" si="8"/>
        <v>0</v>
      </c>
      <c r="M116" s="345">
        <v>0</v>
      </c>
      <c r="N116"/>
      <c r="O116" s="28"/>
      <c r="P116"/>
      <c r="Q116" s="2"/>
      <c r="R116"/>
      <c r="S116" s="2"/>
      <c r="U116" s="10"/>
      <c r="Y116"/>
      <c r="Z116"/>
      <c r="AA116"/>
      <c r="AB116"/>
      <c r="AC116"/>
      <c r="AD116"/>
      <c r="AE116"/>
      <c r="AF116"/>
    </row>
    <row r="117" spans="2:32" ht="15" customHeight="1" collapsed="1" thickBot="1">
      <c r="B117" s="163" t="s">
        <v>46</v>
      </c>
      <c r="C117" s="163"/>
      <c r="D117" s="163"/>
      <c r="E117" s="163"/>
      <c r="F117" s="163"/>
      <c r="G117" s="253"/>
      <c r="H117" s="12"/>
      <c r="I117" s="12"/>
      <c r="J117" s="12"/>
      <c r="K117" s="12"/>
      <c r="L117" s="370"/>
      <c r="M117" s="370"/>
      <c r="O117"/>
      <c r="P117"/>
      <c r="Q117" s="2"/>
      <c r="R117"/>
      <c r="S117" s="2"/>
      <c r="U117" s="10"/>
      <c r="V117" s="4"/>
      <c r="W117" s="4"/>
      <c r="X117" s="4"/>
    </row>
    <row r="118" spans="2:32" ht="28" customHeight="1" thickBot="1">
      <c r="B118" s="765" t="str">
        <f>B$2</f>
        <v>Damage Assessments for Sustainable Reconstruction in Ukraine</v>
      </c>
      <c r="C118" s="766"/>
      <c r="D118" s="766"/>
      <c r="E118" s="766"/>
      <c r="F118" s="766"/>
      <c r="G118" s="766"/>
      <c r="H118" s="766"/>
      <c r="I118" s="784" t="str">
        <f>I$2</f>
        <v>Irpin Urban Area</v>
      </c>
      <c r="J118" s="785"/>
      <c r="K118" s="786"/>
      <c r="L118" s="371" t="str">
        <f>L$2</f>
        <v>27Jan23</v>
      </c>
      <c r="M118" s="164">
        <v>7</v>
      </c>
      <c r="P118"/>
      <c r="Q118" s="2"/>
      <c r="R118"/>
      <c r="S118" s="2"/>
      <c r="T118"/>
      <c r="V118" s="4"/>
      <c r="W118" s="4"/>
      <c r="X118" s="4"/>
    </row>
    <row r="119" spans="2:32" ht="27" customHeight="1">
      <c r="B119" s="938" t="str">
        <f>Languages!$C$185&amp;" 3"</f>
        <v>Public utilities and services 3</v>
      </c>
      <c r="C119" s="939"/>
      <c r="D119" s="787" t="str">
        <f>Languages!$N$176</f>
        <v>Information on main asset &amp; sub-assets</v>
      </c>
      <c r="E119" s="788" t="str">
        <f>Languages!$I$188</f>
        <v>Area and/or quantity assessed</v>
      </c>
      <c r="F119" s="789"/>
      <c r="G119" s="792" t="str">
        <f>Languages!$M$194</f>
        <v>Enter info on type and area / quantity of assets, type and extent of damage.</v>
      </c>
      <c r="H119" s="793"/>
      <c r="I119" s="796" t="s">
        <v>2118</v>
      </c>
      <c r="J119" s="798" t="str">
        <f>Languages!$K$177</f>
        <v>Approx. repair costs, priority 4 &amp; 5 assets, m. Euro</v>
      </c>
      <c r="K119" s="799"/>
      <c r="L119" s="367">
        <f>IF(K127&gt;3,L127,0)+IF(K128&gt;3,L128,0)+IF(K129&gt;3,L129,0)+IF(K130&gt;3,L130,0)+IF(K131&gt;3,L131,0)+IF(K132&gt;3,L132,0)+IF(K133&gt;3,L133,0)+IF(K134&gt;3,L134,0)+IF(K135&gt;3,L135,0)+IF(K136&gt;3,L136,0)+IF(K137&gt;3,L137,0)+IF(K138&gt;3,L138,0)+IF(K139&gt;3,L139,0)</f>
        <v>147</v>
      </c>
      <c r="M119" s="368" t="s">
        <v>1966</v>
      </c>
      <c r="P119"/>
      <c r="Q119" s="2"/>
      <c r="R119"/>
      <c r="S119" s="2"/>
      <c r="T119"/>
      <c r="V119" s="4"/>
      <c r="W119" s="4"/>
      <c r="X119" s="4"/>
    </row>
    <row r="120" spans="2:32" ht="27" customHeight="1">
      <c r="B120" s="940"/>
      <c r="C120" s="941"/>
      <c r="D120" s="768"/>
      <c r="E120" s="790"/>
      <c r="F120" s="791"/>
      <c r="G120" s="794"/>
      <c r="H120" s="795"/>
      <c r="I120" s="797"/>
      <c r="J120" s="800" t="str">
        <f>Languages!$K$176</f>
        <v>Approx. total repair costs, m. Euro</v>
      </c>
      <c r="K120" s="801"/>
      <c r="L120" s="448">
        <f>SUM(L127:L139)</f>
        <v>148</v>
      </c>
      <c r="M120" s="369" t="s">
        <v>1966</v>
      </c>
      <c r="P120"/>
      <c r="Q120" s="2"/>
      <c r="R120"/>
      <c r="S120" s="2"/>
      <c r="U120" s="10"/>
      <c r="V120" s="4"/>
      <c r="W120" s="4"/>
      <c r="X120" s="4"/>
    </row>
    <row r="121" spans="2:32" ht="20" customHeight="1">
      <c r="B121" s="940"/>
      <c r="C121" s="941"/>
      <c r="D121" s="768"/>
      <c r="E121" s="802" t="s">
        <v>1546</v>
      </c>
      <c r="F121" s="804" t="str">
        <f>Languages!$N$178</f>
        <v>Unit type</v>
      </c>
      <c r="G121" s="769" t="str">
        <f>G$77</f>
        <v>Asset or Component</v>
      </c>
      <c r="H121" s="767" t="s">
        <v>2251</v>
      </c>
      <c r="I121" s="331" t="s">
        <v>2117</v>
      </c>
      <c r="J121" s="771" t="str">
        <f>Languages!$K$178</f>
        <v>Actions</v>
      </c>
      <c r="K121" s="772"/>
      <c r="L121" s="863" t="s">
        <v>1550</v>
      </c>
      <c r="M121" s="764"/>
      <c r="P121"/>
      <c r="Q121" s="2"/>
      <c r="R121"/>
      <c r="S121" s="2"/>
      <c r="U121" s="10"/>
      <c r="V121" s="4"/>
      <c r="W121" s="4"/>
      <c r="X121" s="4"/>
    </row>
    <row r="122" spans="2:32" s="4" customFormat="1" ht="25" customHeight="1" thickBot="1">
      <c r="B122" s="940"/>
      <c r="C122" s="941"/>
      <c r="D122" s="768"/>
      <c r="E122" s="803"/>
      <c r="F122" s="805"/>
      <c r="G122" s="770"/>
      <c r="H122" s="768"/>
      <c r="I122" s="330" t="str">
        <f>Languages!$E$190</f>
        <v>Social Impact level</v>
      </c>
      <c r="J122" s="492" t="str">
        <f>Languages!$K$185</f>
        <v>Action required</v>
      </c>
      <c r="K122" s="504" t="str">
        <f>Languages!$G$193</f>
        <v>Priority 
1 - 5</v>
      </c>
      <c r="L122" s="451" t="str">
        <f>Languages!$M$177</f>
        <v>Total m. Euro</v>
      </c>
      <c r="M122" s="542" t="str">
        <f>Languages!$M$178&amp;" per MW"</f>
        <v>Est. Euro per MW</v>
      </c>
      <c r="N122"/>
      <c r="P122"/>
      <c r="R122"/>
      <c r="S122" s="2"/>
      <c r="U122" s="10"/>
      <c r="Y122"/>
      <c r="Z122"/>
      <c r="AA122"/>
      <c r="AB122"/>
      <c r="AC122"/>
      <c r="AD122"/>
      <c r="AE122"/>
      <c r="AF122"/>
    </row>
    <row r="123" spans="2:32" ht="25" customHeight="1">
      <c r="B123" s="753" t="str">
        <f>"Zaporizhzhia "&amp;Languages!$C$216</f>
        <v>Zaporizhzhia Nuclear power plant</v>
      </c>
      <c r="C123" s="754"/>
      <c r="D123" s="553" t="s">
        <v>2178</v>
      </c>
      <c r="E123" s="817">
        <v>1</v>
      </c>
      <c r="F123" s="818"/>
      <c r="G123" s="711" t="str">
        <f>G$11</f>
        <v>Asset / Component</v>
      </c>
      <c r="H123" s="734" t="s">
        <v>2123</v>
      </c>
      <c r="I123" s="545" t="s">
        <v>2103</v>
      </c>
      <c r="J123" s="711" t="s">
        <v>2212</v>
      </c>
      <c r="K123" s="807">
        <f>SUM(K127:K139)/13</f>
        <v>4.6923076923076925</v>
      </c>
      <c r="L123" s="830" t="s">
        <v>2213</v>
      </c>
      <c r="M123" s="831"/>
      <c r="P123"/>
      <c r="Q123" s="2"/>
      <c r="R123"/>
      <c r="S123"/>
      <c r="T123"/>
    </row>
    <row r="124" spans="2:32" ht="25" customHeight="1" thickBot="1">
      <c r="B124" s="755"/>
      <c r="C124" s="756"/>
      <c r="D124" s="566" t="s">
        <v>2003</v>
      </c>
      <c r="E124" s="864" t="s">
        <v>2004</v>
      </c>
      <c r="F124" s="865"/>
      <c r="G124" s="806"/>
      <c r="H124" s="914"/>
      <c r="I124" s="567" t="s">
        <v>2120</v>
      </c>
      <c r="J124" s="806"/>
      <c r="K124" s="808"/>
      <c r="L124" s="834"/>
      <c r="M124" s="835"/>
      <c r="O124" s="28"/>
      <c r="P124"/>
      <c r="Q124" s="2"/>
      <c r="R124"/>
      <c r="S124"/>
      <c r="T124"/>
    </row>
    <row r="125" spans="2:32" s="4" customFormat="1" ht="25" hidden="1" customHeight="1" outlineLevel="1">
      <c r="B125" s="521"/>
      <c r="C125" s="522"/>
      <c r="D125" s="554" t="s">
        <v>2000</v>
      </c>
      <c r="E125" s="890" t="s">
        <v>2001</v>
      </c>
      <c r="F125" s="890"/>
      <c r="G125" s="462"/>
      <c r="H125" s="347"/>
      <c r="I125" s="347"/>
      <c r="J125" s="347"/>
      <c r="K125" s="347"/>
      <c r="L125" s="382"/>
      <c r="M125" s="374"/>
      <c r="N125"/>
      <c r="O125" s="28"/>
      <c r="P125"/>
      <c r="R125"/>
      <c r="S125" s="2"/>
      <c r="U125" s="10"/>
      <c r="Y125"/>
      <c r="Z125"/>
      <c r="AA125"/>
      <c r="AB125"/>
      <c r="AC125"/>
      <c r="AD125"/>
      <c r="AE125"/>
      <c r="AF125"/>
    </row>
    <row r="126" spans="2:32" s="4" customFormat="1" ht="25" hidden="1" customHeight="1" outlineLevel="1">
      <c r="B126" s="889" t="s">
        <v>2134</v>
      </c>
      <c r="C126" s="650"/>
      <c r="D126" s="650"/>
      <c r="E126" s="650"/>
      <c r="F126" s="650"/>
      <c r="G126" s="329" t="s">
        <v>2130</v>
      </c>
      <c r="H126" s="375" t="s">
        <v>2250</v>
      </c>
      <c r="I126" s="379"/>
      <c r="J126" s="375" t="s">
        <v>28</v>
      </c>
      <c r="K126" s="377" t="str">
        <f>Languages!$G$193</f>
        <v>Priority 
1 - 5</v>
      </c>
      <c r="L126" s="449" t="s">
        <v>2214</v>
      </c>
      <c r="M126" s="450" t="str">
        <f>Languages!$M$178&amp;" per MWe"</f>
        <v>Est. Euro per MWe</v>
      </c>
      <c r="N126"/>
      <c r="O126" s="28"/>
      <c r="P126"/>
      <c r="Q126" s="2"/>
      <c r="R126"/>
      <c r="S126" s="2"/>
      <c r="U126" s="10"/>
      <c r="Y126"/>
      <c r="Z126"/>
      <c r="AA126"/>
      <c r="AB126"/>
      <c r="AC126"/>
      <c r="AD126"/>
      <c r="AE126"/>
      <c r="AF126"/>
    </row>
    <row r="127" spans="2:32" s="4" customFormat="1" ht="24" hidden="1" customHeight="1" outlineLevel="1">
      <c r="B127" s="883" t="s">
        <v>2002</v>
      </c>
      <c r="C127" s="884"/>
      <c r="D127" s="884"/>
      <c r="E127" s="884"/>
      <c r="F127" s="884"/>
      <c r="G127" s="357" t="s">
        <v>1540</v>
      </c>
      <c r="H127" s="332" t="s">
        <v>2124</v>
      </c>
      <c r="I127" s="901" t="s">
        <v>2141</v>
      </c>
      <c r="J127" s="343" t="s">
        <v>1449</v>
      </c>
      <c r="K127" s="322">
        <v>4</v>
      </c>
      <c r="L127" s="334">
        <f>M127</f>
        <v>4</v>
      </c>
      <c r="M127" s="335">
        <v>4</v>
      </c>
      <c r="N127"/>
      <c r="O127" s="28"/>
      <c r="P127"/>
      <c r="Q127" s="2"/>
      <c r="R127"/>
      <c r="S127" s="2"/>
      <c r="U127" s="10"/>
      <c r="Y127"/>
      <c r="Z127"/>
      <c r="AA127"/>
      <c r="AB127"/>
      <c r="AC127"/>
      <c r="AD127"/>
      <c r="AE127"/>
      <c r="AF127"/>
    </row>
    <row r="128" spans="2:32" s="4" customFormat="1" ht="24" hidden="1" customHeight="1" outlineLevel="1">
      <c r="B128" s="883"/>
      <c r="C128" s="884"/>
      <c r="D128" s="884"/>
      <c r="E128" s="884"/>
      <c r="F128" s="884"/>
      <c r="G128" s="238" t="s">
        <v>1525</v>
      </c>
      <c r="H128" s="333" t="s">
        <v>2124</v>
      </c>
      <c r="I128" s="901"/>
      <c r="J128" s="169" t="s">
        <v>1449</v>
      </c>
      <c r="K128" s="167">
        <v>4</v>
      </c>
      <c r="L128" s="334">
        <f t="shared" ref="L128:L139" si="9">M128</f>
        <v>8</v>
      </c>
      <c r="M128" s="345">
        <v>8</v>
      </c>
      <c r="N128"/>
      <c r="O128" s="28"/>
      <c r="P128"/>
      <c r="Q128" s="2"/>
      <c r="R128"/>
      <c r="S128" s="2"/>
      <c r="U128" s="10"/>
      <c r="Y128"/>
      <c r="Z128"/>
      <c r="AA128"/>
      <c r="AB128"/>
      <c r="AC128"/>
      <c r="AD128"/>
      <c r="AE128"/>
      <c r="AF128"/>
    </row>
    <row r="129" spans="2:32" s="4" customFormat="1" ht="24" hidden="1" customHeight="1" outlineLevel="1">
      <c r="B129" s="883"/>
      <c r="C129" s="884"/>
      <c r="D129" s="884"/>
      <c r="E129" s="884"/>
      <c r="F129" s="884"/>
      <c r="G129" s="238" t="s">
        <v>1622</v>
      </c>
      <c r="H129" s="333" t="s">
        <v>2123</v>
      </c>
      <c r="I129" s="901"/>
      <c r="J129" s="169" t="s">
        <v>1449</v>
      </c>
      <c r="K129" s="167">
        <v>5</v>
      </c>
      <c r="L129" s="334">
        <f t="shared" si="9"/>
        <v>11</v>
      </c>
      <c r="M129" s="345">
        <v>11</v>
      </c>
      <c r="N129"/>
      <c r="O129" s="28"/>
      <c r="P129"/>
      <c r="Q129" s="2"/>
      <c r="R129"/>
      <c r="S129" s="2"/>
      <c r="U129" s="10"/>
      <c r="Y129"/>
      <c r="Z129"/>
      <c r="AA129"/>
      <c r="AB129"/>
      <c r="AC129"/>
      <c r="AD129"/>
      <c r="AE129"/>
      <c r="AF129"/>
    </row>
    <row r="130" spans="2:32" s="4" customFormat="1" ht="24" hidden="1" customHeight="1" outlineLevel="1">
      <c r="B130" s="883"/>
      <c r="C130" s="884"/>
      <c r="D130" s="884"/>
      <c r="E130" s="884"/>
      <c r="F130" s="884"/>
      <c r="G130" s="238" t="s">
        <v>1946</v>
      </c>
      <c r="H130" s="333" t="s">
        <v>2127</v>
      </c>
      <c r="I130" s="901"/>
      <c r="J130" s="169" t="s">
        <v>1454</v>
      </c>
      <c r="K130" s="167">
        <v>5</v>
      </c>
      <c r="L130" s="334">
        <f t="shared" si="9"/>
        <v>11</v>
      </c>
      <c r="M130" s="345">
        <v>11</v>
      </c>
      <c r="N130"/>
      <c r="O130" s="28"/>
      <c r="P130"/>
      <c r="Q130" s="2"/>
      <c r="R130"/>
      <c r="S130" s="2"/>
      <c r="U130" s="10"/>
      <c r="Y130"/>
      <c r="Z130"/>
      <c r="AA130"/>
      <c r="AB130"/>
      <c r="AC130"/>
      <c r="AD130"/>
      <c r="AE130"/>
      <c r="AF130"/>
    </row>
    <row r="131" spans="2:32" s="4" customFormat="1" ht="24" hidden="1" customHeight="1" outlineLevel="1">
      <c r="B131" s="883"/>
      <c r="C131" s="884"/>
      <c r="D131" s="884"/>
      <c r="E131" s="884"/>
      <c r="F131" s="884"/>
      <c r="G131" s="153" t="s">
        <v>2013</v>
      </c>
      <c r="H131" s="333" t="s">
        <v>2125</v>
      </c>
      <c r="I131" s="901"/>
      <c r="J131" s="169" t="s">
        <v>1449</v>
      </c>
      <c r="K131" s="167">
        <v>5</v>
      </c>
      <c r="L131" s="334">
        <f t="shared" si="9"/>
        <v>40</v>
      </c>
      <c r="M131" s="345">
        <v>40</v>
      </c>
      <c r="N131"/>
      <c r="O131" s="28"/>
      <c r="P131"/>
      <c r="Q131" s="2"/>
      <c r="R131"/>
      <c r="S131" s="2"/>
      <c r="U131" s="10"/>
      <c r="Y131"/>
      <c r="Z131"/>
      <c r="AA131"/>
      <c r="AB131"/>
      <c r="AC131"/>
      <c r="AD131"/>
      <c r="AE131"/>
      <c r="AF131"/>
    </row>
    <row r="132" spans="2:32" s="4" customFormat="1" ht="24" hidden="1" customHeight="1" outlineLevel="1">
      <c r="B132" s="883"/>
      <c r="C132" s="884"/>
      <c r="D132" s="884"/>
      <c r="E132" s="884"/>
      <c r="F132" s="884"/>
      <c r="G132" s="153" t="s">
        <v>2008</v>
      </c>
      <c r="H132" s="333" t="s">
        <v>2123</v>
      </c>
      <c r="I132" s="901"/>
      <c r="J132" s="169" t="s">
        <v>1449</v>
      </c>
      <c r="K132" s="167">
        <v>5</v>
      </c>
      <c r="L132" s="334">
        <f t="shared" si="9"/>
        <v>14</v>
      </c>
      <c r="M132" s="345">
        <v>14</v>
      </c>
      <c r="N132"/>
      <c r="O132" s="28"/>
      <c r="P132"/>
      <c r="Q132" s="2"/>
      <c r="R132"/>
      <c r="S132" s="2"/>
      <c r="U132" s="10"/>
      <c r="Y132"/>
      <c r="Z132"/>
      <c r="AA132"/>
      <c r="AB132"/>
      <c r="AC132"/>
      <c r="AD132"/>
      <c r="AE132"/>
      <c r="AF132"/>
    </row>
    <row r="133" spans="2:32" s="4" customFormat="1" ht="24" hidden="1" customHeight="1" outlineLevel="1">
      <c r="B133" s="883"/>
      <c r="C133" s="884"/>
      <c r="D133" s="884"/>
      <c r="E133" s="884"/>
      <c r="F133" s="884"/>
      <c r="G133" s="153" t="s">
        <v>2009</v>
      </c>
      <c r="H133" s="333" t="s">
        <v>2125</v>
      </c>
      <c r="I133" s="901"/>
      <c r="J133" s="169" t="s">
        <v>1449</v>
      </c>
      <c r="K133" s="167">
        <v>5</v>
      </c>
      <c r="L133" s="334">
        <f t="shared" si="9"/>
        <v>11</v>
      </c>
      <c r="M133" s="345">
        <v>11</v>
      </c>
      <c r="N133"/>
      <c r="O133" s="28"/>
      <c r="P133"/>
      <c r="Q133" s="2"/>
      <c r="R133"/>
      <c r="S133" s="2"/>
      <c r="U133" s="10"/>
      <c r="Y133"/>
      <c r="Z133"/>
      <c r="AA133"/>
      <c r="AB133"/>
      <c r="AC133"/>
      <c r="AD133"/>
      <c r="AE133"/>
      <c r="AF133"/>
    </row>
    <row r="134" spans="2:32" s="4" customFormat="1" ht="24" hidden="1" customHeight="1" outlineLevel="1">
      <c r="B134" s="273"/>
      <c r="C134" s="274"/>
      <c r="D134" s="274"/>
      <c r="E134" s="274"/>
      <c r="F134" s="274"/>
      <c r="G134" s="153" t="s">
        <v>2007</v>
      </c>
      <c r="H134" s="333" t="s">
        <v>2127</v>
      </c>
      <c r="I134" s="901"/>
      <c r="J134" s="169" t="s">
        <v>1446</v>
      </c>
      <c r="K134" s="167">
        <v>5</v>
      </c>
      <c r="L134" s="334">
        <f t="shared" si="9"/>
        <v>8</v>
      </c>
      <c r="M134" s="345">
        <v>8</v>
      </c>
      <c r="N134"/>
      <c r="O134" s="28"/>
      <c r="P134"/>
      <c r="Q134" s="2"/>
      <c r="R134"/>
      <c r="S134" s="2"/>
      <c r="U134" s="10"/>
      <c r="Y134"/>
      <c r="Z134"/>
      <c r="AA134"/>
      <c r="AB134"/>
      <c r="AC134"/>
      <c r="AD134"/>
      <c r="AE134"/>
      <c r="AF134"/>
    </row>
    <row r="135" spans="2:32" s="4" customFormat="1" ht="24" hidden="1" customHeight="1" outlineLevel="1">
      <c r="B135" s="273"/>
      <c r="C135" s="274"/>
      <c r="D135" s="274"/>
      <c r="E135" s="274"/>
      <c r="F135" s="274"/>
      <c r="G135" s="153" t="s">
        <v>2012</v>
      </c>
      <c r="H135" s="333" t="s">
        <v>2127</v>
      </c>
      <c r="I135" s="901"/>
      <c r="J135" s="169" t="s">
        <v>1454</v>
      </c>
      <c r="K135" s="167">
        <v>5</v>
      </c>
      <c r="L135" s="334">
        <f t="shared" si="9"/>
        <v>11</v>
      </c>
      <c r="M135" s="345">
        <v>11</v>
      </c>
      <c r="N135"/>
      <c r="O135" s="28"/>
      <c r="P135"/>
      <c r="Q135" s="2"/>
      <c r="R135"/>
      <c r="S135" s="2"/>
      <c r="U135" s="10"/>
      <c r="Y135"/>
      <c r="Z135"/>
      <c r="AA135"/>
      <c r="AB135"/>
      <c r="AC135"/>
      <c r="AD135"/>
      <c r="AE135"/>
      <c r="AF135"/>
    </row>
    <row r="136" spans="2:32" s="4" customFormat="1" ht="24" hidden="1" customHeight="1" outlineLevel="1">
      <c r="B136" s="273"/>
      <c r="C136" s="274"/>
      <c r="D136" s="274"/>
      <c r="E136" s="274"/>
      <c r="F136" s="274"/>
      <c r="G136" s="153" t="s">
        <v>2011</v>
      </c>
      <c r="H136" s="333" t="s">
        <v>2125</v>
      </c>
      <c r="I136" s="901"/>
      <c r="J136" s="169" t="s">
        <v>1449</v>
      </c>
      <c r="K136" s="167">
        <v>5</v>
      </c>
      <c r="L136" s="334">
        <f t="shared" si="9"/>
        <v>8</v>
      </c>
      <c r="M136" s="345">
        <v>8</v>
      </c>
      <c r="N136"/>
      <c r="O136" s="28"/>
      <c r="P136"/>
      <c r="Q136" s="2"/>
      <c r="R136"/>
      <c r="S136" s="2"/>
      <c r="U136" s="10"/>
      <c r="Y136"/>
      <c r="Z136"/>
      <c r="AA136"/>
      <c r="AB136"/>
      <c r="AC136"/>
      <c r="AD136"/>
      <c r="AE136"/>
      <c r="AF136"/>
    </row>
    <row r="137" spans="2:32" s="4" customFormat="1" ht="24" hidden="1" customHeight="1" outlineLevel="1">
      <c r="B137" s="273"/>
      <c r="C137" s="274"/>
      <c r="D137" s="274"/>
      <c r="E137" s="274"/>
      <c r="F137" s="274"/>
      <c r="G137" s="153" t="s">
        <v>2005</v>
      </c>
      <c r="H137" s="333" t="s">
        <v>2124</v>
      </c>
      <c r="I137" s="901"/>
      <c r="J137" s="169" t="s">
        <v>1448</v>
      </c>
      <c r="K137" s="167">
        <v>5</v>
      </c>
      <c r="L137" s="334">
        <f t="shared" si="9"/>
        <v>16</v>
      </c>
      <c r="M137" s="345">
        <v>16</v>
      </c>
      <c r="N137"/>
      <c r="O137" s="28"/>
      <c r="P137"/>
      <c r="Q137" s="2"/>
      <c r="R137"/>
      <c r="S137" s="2"/>
      <c r="U137" s="10"/>
      <c r="Y137"/>
      <c r="Z137"/>
      <c r="AA137"/>
      <c r="AB137"/>
      <c r="AC137"/>
      <c r="AD137"/>
      <c r="AE137"/>
      <c r="AF137"/>
    </row>
    <row r="138" spans="2:32" s="4" customFormat="1" ht="24" hidden="1" customHeight="1" outlineLevel="1">
      <c r="B138" s="273"/>
      <c r="C138" s="274"/>
      <c r="D138" s="274"/>
      <c r="E138" s="274"/>
      <c r="F138" s="274"/>
      <c r="G138" s="153" t="s">
        <v>2010</v>
      </c>
      <c r="H138" s="333" t="s">
        <v>2127</v>
      </c>
      <c r="I138" s="901"/>
      <c r="J138" s="169" t="s">
        <v>1449</v>
      </c>
      <c r="K138" s="167">
        <v>5</v>
      </c>
      <c r="L138" s="334">
        <f t="shared" si="9"/>
        <v>5</v>
      </c>
      <c r="M138" s="345">
        <v>5</v>
      </c>
      <c r="N138"/>
      <c r="O138" s="28"/>
      <c r="P138"/>
      <c r="Q138" s="2"/>
      <c r="R138"/>
      <c r="S138" s="2"/>
      <c r="U138" s="10"/>
      <c r="Y138"/>
      <c r="Z138"/>
      <c r="AA138"/>
      <c r="AB138"/>
      <c r="AC138"/>
      <c r="AD138"/>
      <c r="AE138"/>
      <c r="AF138"/>
    </row>
    <row r="139" spans="2:32" s="4" customFormat="1" ht="24" hidden="1" customHeight="1" outlineLevel="1" thickBot="1">
      <c r="B139" s="275"/>
      <c r="C139" s="276"/>
      <c r="D139" s="276"/>
      <c r="E139" s="276"/>
      <c r="F139" s="276"/>
      <c r="G139" s="153" t="s">
        <v>2006</v>
      </c>
      <c r="H139" s="333" t="s">
        <v>2123</v>
      </c>
      <c r="I139" s="902"/>
      <c r="J139" s="169" t="s">
        <v>1473</v>
      </c>
      <c r="K139" s="255">
        <v>3</v>
      </c>
      <c r="L139" s="334">
        <f t="shared" si="9"/>
        <v>1</v>
      </c>
      <c r="M139" s="345">
        <v>1</v>
      </c>
      <c r="N139"/>
      <c r="O139" s="28"/>
      <c r="P139"/>
      <c r="Q139" s="2"/>
      <c r="R139"/>
      <c r="S139" s="2"/>
      <c r="U139" s="10"/>
      <c r="Y139"/>
      <c r="Z139"/>
      <c r="AA139"/>
      <c r="AB139"/>
      <c r="AC139"/>
      <c r="AD139"/>
      <c r="AE139"/>
      <c r="AF139"/>
    </row>
    <row r="140" spans="2:32" ht="15" customHeight="1" collapsed="1" thickBot="1">
      <c r="B140" s="163" t="s">
        <v>46</v>
      </c>
      <c r="C140" s="163"/>
      <c r="D140" s="163"/>
      <c r="E140" s="163"/>
      <c r="F140" s="163"/>
      <c r="G140" s="253"/>
      <c r="H140" s="12"/>
      <c r="I140" s="12"/>
      <c r="J140" s="12"/>
      <c r="K140" s="12"/>
      <c r="L140" s="370"/>
      <c r="M140" s="370"/>
      <c r="O140"/>
      <c r="P140"/>
      <c r="Q140" s="2"/>
      <c r="R140"/>
      <c r="S140" s="2"/>
      <c r="U140" s="10"/>
      <c r="V140" s="4"/>
      <c r="W140" s="4"/>
      <c r="X140" s="4"/>
    </row>
    <row r="141" spans="2:32" ht="28" customHeight="1" thickBot="1">
      <c r="B141" s="765" t="str">
        <f>B$2</f>
        <v>Damage Assessments for Sustainable Reconstruction in Ukraine</v>
      </c>
      <c r="C141" s="766"/>
      <c r="D141" s="766"/>
      <c r="E141" s="766"/>
      <c r="F141" s="766"/>
      <c r="G141" s="766"/>
      <c r="H141" s="766"/>
      <c r="I141" s="784" t="str">
        <f>I$2</f>
        <v>Irpin Urban Area</v>
      </c>
      <c r="J141" s="785"/>
      <c r="K141" s="786"/>
      <c r="L141" s="371" t="str">
        <f>L$74</f>
        <v>27Jan23</v>
      </c>
      <c r="M141" s="164">
        <v>8</v>
      </c>
      <c r="P141"/>
      <c r="Q141" s="2"/>
      <c r="R141"/>
      <c r="S141" s="2"/>
      <c r="T141"/>
      <c r="V141" s="4"/>
      <c r="W141" s="4"/>
      <c r="X141" s="4"/>
    </row>
    <row r="142" spans="2:32" ht="27" customHeight="1">
      <c r="B142" s="938" t="str">
        <f>Languages!$C$185&amp;" 4"</f>
        <v>Public utilities and services 4</v>
      </c>
      <c r="C142" s="939"/>
      <c r="D142" s="787" t="str">
        <f>Languages!$N$176</f>
        <v>Information on main asset &amp; sub-assets</v>
      </c>
      <c r="E142" s="788" t="str">
        <f>Languages!$I$188</f>
        <v>Area and/or quantity assessed</v>
      </c>
      <c r="F142" s="789"/>
      <c r="G142" s="792" t="str">
        <f>Languages!$M$194</f>
        <v>Enter info on type and area / quantity of assets, type and extent of damage.</v>
      </c>
      <c r="H142" s="809"/>
      <c r="I142" s="796" t="s">
        <v>2118</v>
      </c>
      <c r="J142" s="798" t="str">
        <f>Languages!$K$177</f>
        <v>Approx. repair costs, priority 4 &amp; 5 assets, m. Euro</v>
      </c>
      <c r="K142" s="799"/>
      <c r="L142" s="367">
        <f>IF(K146&gt;3,L147)+IF(K155&gt;3,L156)</f>
        <v>25</v>
      </c>
      <c r="M142" s="368" t="s">
        <v>1966</v>
      </c>
      <c r="P142"/>
      <c r="Q142" s="2"/>
      <c r="R142"/>
      <c r="S142" s="2"/>
      <c r="T142"/>
      <c r="V142" s="4"/>
      <c r="W142" s="4"/>
      <c r="X142" s="4"/>
    </row>
    <row r="143" spans="2:32" ht="27" customHeight="1">
      <c r="B143" s="940"/>
      <c r="C143" s="941"/>
      <c r="D143" s="768"/>
      <c r="E143" s="790"/>
      <c r="F143" s="791"/>
      <c r="G143" s="794"/>
      <c r="H143" s="810"/>
      <c r="I143" s="797"/>
      <c r="J143" s="800" t="str">
        <f>Languages!$K$176</f>
        <v>Approx. total repair costs, m. Euro</v>
      </c>
      <c r="K143" s="801"/>
      <c r="L143" s="448">
        <f>(L147+L156)</f>
        <v>51</v>
      </c>
      <c r="M143" s="369" t="s">
        <v>1966</v>
      </c>
      <c r="P143"/>
      <c r="Q143" s="2"/>
      <c r="R143"/>
      <c r="S143" s="2"/>
      <c r="U143" s="10"/>
      <c r="V143" s="4"/>
      <c r="W143" s="4"/>
      <c r="X143" s="4"/>
    </row>
    <row r="144" spans="2:32" ht="20" customHeight="1">
      <c r="B144" s="940"/>
      <c r="C144" s="941"/>
      <c r="D144" s="768"/>
      <c r="E144" s="802" t="s">
        <v>1546</v>
      </c>
      <c r="F144" s="804" t="str">
        <f>Languages!$N$178</f>
        <v>Unit type</v>
      </c>
      <c r="G144" s="769" t="str">
        <f>G$77</f>
        <v>Asset or Component</v>
      </c>
      <c r="H144" s="767" t="s">
        <v>2251</v>
      </c>
      <c r="I144" s="331" t="s">
        <v>2117</v>
      </c>
      <c r="J144" s="771" t="str">
        <f>Languages!$K$178</f>
        <v>Actions</v>
      </c>
      <c r="K144" s="772"/>
      <c r="L144" s="763" t="s">
        <v>1550</v>
      </c>
      <c r="M144" s="764"/>
      <c r="P144"/>
      <c r="Q144" s="2"/>
      <c r="R144"/>
      <c r="S144" s="2"/>
      <c r="U144" s="10"/>
      <c r="V144" s="4"/>
      <c r="W144" s="4"/>
      <c r="X144" s="4"/>
    </row>
    <row r="145" spans="2:32" s="4" customFormat="1" ht="25" customHeight="1" thickBot="1">
      <c r="B145" s="940"/>
      <c r="C145" s="941"/>
      <c r="D145" s="768"/>
      <c r="E145" s="803"/>
      <c r="F145" s="805"/>
      <c r="G145" s="770"/>
      <c r="H145" s="768"/>
      <c r="I145" s="330" t="str">
        <f>Languages!$E$190</f>
        <v>Social Impact level</v>
      </c>
      <c r="J145" s="492" t="str">
        <f>Languages!$K$185</f>
        <v>Action required</v>
      </c>
      <c r="K145" s="504" t="str">
        <f>Languages!$G$193</f>
        <v>Priority 
1 - 5</v>
      </c>
      <c r="L145" s="541" t="s">
        <v>1551</v>
      </c>
      <c r="M145" s="543" t="s">
        <v>1774</v>
      </c>
      <c r="N145"/>
      <c r="P145"/>
      <c r="R145"/>
      <c r="S145" s="2"/>
      <c r="U145" s="10"/>
      <c r="Y145"/>
      <c r="Z145"/>
      <c r="AA145"/>
      <c r="AB145"/>
      <c r="AC145"/>
      <c r="AD145"/>
      <c r="AE145"/>
      <c r="AF145"/>
    </row>
    <row r="146" spans="2:32" ht="25" customHeight="1">
      <c r="B146" s="739" t="str">
        <f>Languages!$C$217&amp;"s "</f>
        <v xml:space="preserve">District heating plants </v>
      </c>
      <c r="C146" s="740"/>
      <c r="D146" s="553" t="s">
        <v>2178</v>
      </c>
      <c r="E146" s="860">
        <v>1</v>
      </c>
      <c r="F146" s="820"/>
      <c r="G146" s="711" t="str">
        <f>G$11</f>
        <v>Asset / Component</v>
      </c>
      <c r="H146" s="734" t="s">
        <v>2123</v>
      </c>
      <c r="I146" s="545" t="s">
        <v>2103</v>
      </c>
      <c r="J146" s="711" t="s">
        <v>2212</v>
      </c>
      <c r="K146" s="721">
        <f>SUM(K149:K151)/3</f>
        <v>2.6666666666666665</v>
      </c>
      <c r="L146" s="546" t="s">
        <v>2214</v>
      </c>
      <c r="M146" s="757"/>
      <c r="P146"/>
      <c r="Q146" s="2"/>
      <c r="R146"/>
      <c r="S146"/>
      <c r="T146"/>
    </row>
    <row r="147" spans="2:32" ht="23" customHeight="1" thickBot="1">
      <c r="B147" s="741"/>
      <c r="C147" s="742"/>
      <c r="D147" s="568" t="s">
        <v>2228</v>
      </c>
      <c r="E147" s="861">
        <f>E146*E148</f>
        <v>100</v>
      </c>
      <c r="F147" s="862"/>
      <c r="G147" s="712"/>
      <c r="H147" s="735"/>
      <c r="I147" s="380" t="s">
        <v>2120</v>
      </c>
      <c r="J147" s="712"/>
      <c r="K147" s="722"/>
      <c r="L147" s="452">
        <f>SUM(M149:M151)</f>
        <v>26</v>
      </c>
      <c r="M147" s="811"/>
      <c r="P147"/>
      <c r="Q147" s="2"/>
      <c r="R147"/>
      <c r="S147"/>
      <c r="T147"/>
    </row>
    <row r="148" spans="2:32" s="4" customFormat="1" ht="24" hidden="1" customHeight="1" outlineLevel="1">
      <c r="B148" s="519"/>
      <c r="C148" s="520"/>
      <c r="D148" s="554" t="s">
        <v>2228</v>
      </c>
      <c r="E148" s="559">
        <v>100</v>
      </c>
      <c r="F148" s="496" t="s">
        <v>1776</v>
      </c>
      <c r="G148" s="421" t="s">
        <v>2130</v>
      </c>
      <c r="H148" s="523" t="s">
        <v>2250</v>
      </c>
      <c r="I148" s="457"/>
      <c r="J148" s="523" t="s">
        <v>28</v>
      </c>
      <c r="K148" s="524" t="str">
        <f>Languages!$G$193</f>
        <v>Priority 
1 - 5</v>
      </c>
      <c r="L148" s="812"/>
      <c r="M148" s="813"/>
      <c r="N148"/>
      <c r="P148"/>
      <c r="R148"/>
      <c r="S148" s="2"/>
      <c r="U148" s="10"/>
      <c r="Y148"/>
      <c r="Z148"/>
      <c r="AA148"/>
      <c r="AB148"/>
      <c r="AC148"/>
      <c r="AD148"/>
      <c r="AE148"/>
      <c r="AF148"/>
    </row>
    <row r="149" spans="2:32" s="4" customFormat="1" ht="24" hidden="1" customHeight="1" outlineLevel="1">
      <c r="B149" s="723" t="s">
        <v>2229</v>
      </c>
      <c r="C149" s="724"/>
      <c r="D149" s="724"/>
      <c r="E149" s="724"/>
      <c r="F149" s="725"/>
      <c r="G149" s="364" t="s">
        <v>1946</v>
      </c>
      <c r="H149" s="332" t="s">
        <v>2124</v>
      </c>
      <c r="I149" s="823" t="s">
        <v>2141</v>
      </c>
      <c r="J149" s="343" t="s">
        <v>1449</v>
      </c>
      <c r="K149" s="322">
        <v>3</v>
      </c>
      <c r="L149" s="383">
        <f>E$146*E$148*M149</f>
        <v>1100</v>
      </c>
      <c r="M149" s="345">
        <v>11</v>
      </c>
      <c r="N149"/>
      <c r="O149" s="2"/>
      <c r="P149"/>
      <c r="Q149" s="2"/>
      <c r="R149"/>
      <c r="S149" s="2"/>
      <c r="U149" s="10"/>
      <c r="Y149"/>
      <c r="Z149"/>
      <c r="AA149"/>
      <c r="AB149"/>
      <c r="AC149"/>
      <c r="AD149"/>
      <c r="AE149"/>
      <c r="AF149"/>
    </row>
    <row r="150" spans="2:32" s="4" customFormat="1" ht="24" hidden="1" customHeight="1" outlineLevel="1">
      <c r="B150" s="726"/>
      <c r="C150" s="727"/>
      <c r="D150" s="727"/>
      <c r="E150" s="727"/>
      <c r="F150" s="728"/>
      <c r="G150" s="365" t="s">
        <v>1947</v>
      </c>
      <c r="H150" s="332" t="s">
        <v>2124</v>
      </c>
      <c r="I150" s="776"/>
      <c r="J150" s="169" t="s">
        <v>1449</v>
      </c>
      <c r="K150" s="167">
        <v>2</v>
      </c>
      <c r="L150" s="383">
        <f t="shared" ref="L150:L154" si="10">E$146*E$148*M150</f>
        <v>800</v>
      </c>
      <c r="M150" s="345">
        <v>8</v>
      </c>
      <c r="N150"/>
      <c r="O150" s="2"/>
      <c r="P150"/>
      <c r="Q150" s="2"/>
      <c r="R150"/>
      <c r="S150" s="2"/>
      <c r="U150" s="10"/>
      <c r="Y150"/>
      <c r="Z150"/>
      <c r="AA150"/>
      <c r="AB150"/>
      <c r="AC150"/>
      <c r="AD150"/>
      <c r="AE150"/>
      <c r="AF150"/>
    </row>
    <row r="151" spans="2:32" s="4" customFormat="1" ht="24" hidden="1" customHeight="1" outlineLevel="1">
      <c r="B151" s="726"/>
      <c r="C151" s="727"/>
      <c r="D151" s="727"/>
      <c r="E151" s="727"/>
      <c r="F151" s="728"/>
      <c r="G151" s="455" t="s">
        <v>1622</v>
      </c>
      <c r="H151" s="443" t="s">
        <v>2124</v>
      </c>
      <c r="I151" s="776"/>
      <c r="J151" s="169" t="s">
        <v>1449</v>
      </c>
      <c r="K151" s="456">
        <v>3</v>
      </c>
      <c r="L151" s="383">
        <f t="shared" si="10"/>
        <v>700</v>
      </c>
      <c r="M151" s="356">
        <v>7</v>
      </c>
      <c r="N151"/>
      <c r="O151" s="2"/>
      <c r="P151"/>
      <c r="Q151" s="2"/>
      <c r="R151"/>
      <c r="S151" s="2"/>
      <c r="U151" s="10"/>
      <c r="Y151"/>
      <c r="Z151"/>
      <c r="AA151"/>
      <c r="AB151"/>
      <c r="AC151"/>
      <c r="AD151"/>
      <c r="AE151"/>
      <c r="AF151"/>
    </row>
    <row r="152" spans="2:32" s="4" customFormat="1" ht="24" hidden="1" customHeight="1" outlineLevel="1">
      <c r="B152" s="726"/>
      <c r="C152" s="727"/>
      <c r="D152" s="727"/>
      <c r="E152" s="727"/>
      <c r="F152" s="728"/>
      <c r="G152" s="455" t="s">
        <v>431</v>
      </c>
      <c r="H152" s="333" t="s">
        <v>2124</v>
      </c>
      <c r="I152" s="776"/>
      <c r="J152" s="170" t="s">
        <v>1449</v>
      </c>
      <c r="K152" s="167">
        <v>4</v>
      </c>
      <c r="L152" s="383">
        <f t="shared" si="10"/>
        <v>1100</v>
      </c>
      <c r="M152" s="345">
        <v>11</v>
      </c>
      <c r="N152"/>
      <c r="P152"/>
      <c r="Q152" s="2"/>
      <c r="R152"/>
      <c r="S152" s="2"/>
      <c r="U152" s="10"/>
      <c r="Y152"/>
      <c r="Z152"/>
      <c r="AA152"/>
      <c r="AB152"/>
      <c r="AC152"/>
      <c r="AD152"/>
      <c r="AE152"/>
      <c r="AF152"/>
    </row>
    <row r="153" spans="2:32" s="4" customFormat="1" ht="24" hidden="1" customHeight="1" outlineLevel="1">
      <c r="B153" s="773"/>
      <c r="C153" s="774"/>
      <c r="D153" s="774"/>
      <c r="E153" s="774"/>
      <c r="F153" s="775"/>
      <c r="G153" s="271"/>
      <c r="H153" s="332" t="s">
        <v>2124</v>
      </c>
      <c r="I153" s="776"/>
      <c r="J153" s="169" t="s">
        <v>1449</v>
      </c>
      <c r="K153" s="167">
        <v>4</v>
      </c>
      <c r="L153" s="383">
        <f t="shared" si="10"/>
        <v>0</v>
      </c>
      <c r="M153" s="345">
        <v>0</v>
      </c>
      <c r="N153"/>
      <c r="P153"/>
      <c r="Q153" s="2"/>
      <c r="R153"/>
      <c r="S153" s="2"/>
      <c r="U153" s="10"/>
      <c r="Y153"/>
      <c r="Z153"/>
      <c r="AA153"/>
      <c r="AB153"/>
      <c r="AC153"/>
      <c r="AD153"/>
      <c r="AE153"/>
      <c r="AF153"/>
    </row>
    <row r="154" spans="2:32" s="4" customFormat="1" ht="24" hidden="1" customHeight="1" outlineLevel="1" thickBot="1">
      <c r="B154" s="773"/>
      <c r="C154" s="774"/>
      <c r="D154" s="774"/>
      <c r="E154" s="774"/>
      <c r="F154" s="775"/>
      <c r="G154" s="460"/>
      <c r="H154" s="443" t="s">
        <v>2124</v>
      </c>
      <c r="I154" s="776"/>
      <c r="J154" s="169" t="s">
        <v>1449</v>
      </c>
      <c r="K154" s="456">
        <v>5</v>
      </c>
      <c r="L154" s="544">
        <f t="shared" si="10"/>
        <v>0</v>
      </c>
      <c r="M154" s="356">
        <v>0</v>
      </c>
      <c r="N154"/>
      <c r="P154"/>
      <c r="Q154" s="2"/>
      <c r="R154"/>
      <c r="S154" s="2"/>
      <c r="U154" s="10"/>
      <c r="Y154"/>
      <c r="Z154"/>
      <c r="AA154"/>
      <c r="AB154"/>
      <c r="AC154"/>
      <c r="AD154"/>
      <c r="AE154"/>
      <c r="AF154"/>
    </row>
    <row r="155" spans="2:32" ht="25" customHeight="1" collapsed="1">
      <c r="B155" s="739" t="str">
        <f>Languages!$C$219&amp;"s "</f>
        <v xml:space="preserve">Solar PV farms </v>
      </c>
      <c r="C155" s="740"/>
      <c r="D155" s="553" t="s">
        <v>2178</v>
      </c>
      <c r="E155" s="817">
        <v>3</v>
      </c>
      <c r="F155" s="817"/>
      <c r="G155" s="711" t="str">
        <f>G$11</f>
        <v>Asset / Component</v>
      </c>
      <c r="H155" s="734" t="s">
        <v>2123</v>
      </c>
      <c r="I155" s="545" t="s">
        <v>2103</v>
      </c>
      <c r="J155" s="711" t="s">
        <v>2212</v>
      </c>
      <c r="K155" s="721">
        <f>SUM(K158:K160)/3</f>
        <v>3.3333333333333335</v>
      </c>
      <c r="L155" s="546" t="s">
        <v>2231</v>
      </c>
      <c r="M155" s="757"/>
      <c r="O155" s="4"/>
      <c r="P155"/>
      <c r="Q155" s="2"/>
      <c r="R155"/>
      <c r="S155"/>
      <c r="T155"/>
    </row>
    <row r="156" spans="2:32" ht="23" customHeight="1" thickBot="1">
      <c r="B156" s="741"/>
      <c r="C156" s="742"/>
      <c r="D156" s="568" t="str">
        <f>D$80</f>
        <v>Aggregate output, MW</v>
      </c>
      <c r="E156" s="861">
        <f>E155*E157</f>
        <v>30</v>
      </c>
      <c r="F156" s="861"/>
      <c r="G156" s="712"/>
      <c r="H156" s="735"/>
      <c r="I156" s="380" t="s">
        <v>2120</v>
      </c>
      <c r="J156" s="712"/>
      <c r="K156" s="722"/>
      <c r="L156" s="452">
        <f>SUM(M158:M160)</f>
        <v>25</v>
      </c>
      <c r="M156" s="811"/>
      <c r="O156" s="4"/>
      <c r="P156"/>
      <c r="Q156" s="2"/>
      <c r="R156"/>
      <c r="S156"/>
      <c r="T156"/>
    </row>
    <row r="157" spans="2:32" s="4" customFormat="1" ht="24" hidden="1" customHeight="1" outlineLevel="1">
      <c r="B157" s="519"/>
      <c r="C157" s="520"/>
      <c r="D157" s="554" t="s">
        <v>1557</v>
      </c>
      <c r="E157" s="557">
        <v>10</v>
      </c>
      <c r="F157" s="528" t="s">
        <v>1558</v>
      </c>
      <c r="G157" s="461" t="s">
        <v>2130</v>
      </c>
      <c r="H157" s="523" t="s">
        <v>2250</v>
      </c>
      <c r="I157" s="457"/>
      <c r="J157" s="523" t="s">
        <v>28</v>
      </c>
      <c r="K157" s="524" t="str">
        <f>Languages!$G$193</f>
        <v>Priority 
1 - 5</v>
      </c>
      <c r="L157" s="812"/>
      <c r="M157" s="813"/>
      <c r="N157"/>
      <c r="P157"/>
      <c r="R157"/>
      <c r="S157" s="2"/>
      <c r="U157" s="10"/>
      <c r="Y157"/>
      <c r="Z157"/>
      <c r="AA157"/>
      <c r="AB157"/>
      <c r="AC157"/>
      <c r="AD157"/>
      <c r="AE157"/>
      <c r="AF157"/>
    </row>
    <row r="158" spans="2:32" s="4" customFormat="1" ht="24" hidden="1" customHeight="1" outlineLevel="1">
      <c r="B158" s="723" t="s">
        <v>2227</v>
      </c>
      <c r="C158" s="724"/>
      <c r="D158" s="724"/>
      <c r="E158" s="724"/>
      <c r="F158" s="725"/>
      <c r="G158" s="357" t="s">
        <v>1946</v>
      </c>
      <c r="H158" s="332" t="s">
        <v>2124</v>
      </c>
      <c r="I158" s="823" t="s">
        <v>2141</v>
      </c>
      <c r="J158" s="343" t="s">
        <v>1449</v>
      </c>
      <c r="K158" s="322">
        <v>4</v>
      </c>
      <c r="L158" s="383">
        <f>E$155*E$157*M158</f>
        <v>330</v>
      </c>
      <c r="M158" s="345">
        <v>11</v>
      </c>
      <c r="N158"/>
      <c r="P158"/>
      <c r="Q158" s="2"/>
      <c r="R158"/>
      <c r="S158" s="2"/>
      <c r="U158" s="10"/>
      <c r="Y158"/>
      <c r="Z158"/>
      <c r="AA158"/>
      <c r="AB158"/>
      <c r="AC158"/>
      <c r="AD158"/>
      <c r="AE158"/>
      <c r="AF158"/>
    </row>
    <row r="159" spans="2:32" s="4" customFormat="1" ht="24" hidden="1" customHeight="1" outlineLevel="1">
      <c r="B159" s="726"/>
      <c r="C159" s="727"/>
      <c r="D159" s="727"/>
      <c r="E159" s="727"/>
      <c r="F159" s="728"/>
      <c r="G159" s="238" t="s">
        <v>1947</v>
      </c>
      <c r="H159" s="332" t="s">
        <v>2124</v>
      </c>
      <c r="I159" s="776"/>
      <c r="J159" s="169" t="s">
        <v>1449</v>
      </c>
      <c r="K159" s="167">
        <v>3</v>
      </c>
      <c r="L159" s="383">
        <f t="shared" ref="L159:L163" si="11">E$155*E$157*M159</f>
        <v>240</v>
      </c>
      <c r="M159" s="345">
        <v>8</v>
      </c>
      <c r="N159"/>
      <c r="P159"/>
      <c r="Q159" s="2"/>
      <c r="R159"/>
      <c r="S159" s="2"/>
      <c r="U159" s="10"/>
      <c r="Y159"/>
      <c r="Z159"/>
      <c r="AA159"/>
      <c r="AB159"/>
      <c r="AC159"/>
      <c r="AD159"/>
      <c r="AE159"/>
      <c r="AF159"/>
    </row>
    <row r="160" spans="2:32" s="4" customFormat="1" ht="24" hidden="1" customHeight="1" outlineLevel="1">
      <c r="B160" s="726"/>
      <c r="C160" s="727"/>
      <c r="D160" s="727"/>
      <c r="E160" s="727"/>
      <c r="F160" s="728"/>
      <c r="G160" s="238" t="s">
        <v>1622</v>
      </c>
      <c r="H160" s="333" t="s">
        <v>2124</v>
      </c>
      <c r="I160" s="776"/>
      <c r="J160" s="169" t="s">
        <v>1449</v>
      </c>
      <c r="K160" s="167">
        <v>3</v>
      </c>
      <c r="L160" s="383">
        <f t="shared" si="11"/>
        <v>180</v>
      </c>
      <c r="M160" s="345">
        <v>6</v>
      </c>
      <c r="N160"/>
      <c r="P160"/>
      <c r="Q160" s="2"/>
      <c r="R160"/>
      <c r="S160" s="2"/>
      <c r="U160" s="10"/>
      <c r="Y160"/>
      <c r="Z160"/>
      <c r="AA160"/>
      <c r="AB160"/>
      <c r="AC160"/>
      <c r="AD160"/>
      <c r="AE160"/>
      <c r="AF160"/>
    </row>
    <row r="161" spans="2:32" s="4" customFormat="1" ht="24" hidden="1" customHeight="1" outlineLevel="1">
      <c r="B161" s="773"/>
      <c r="C161" s="774"/>
      <c r="D161" s="774"/>
      <c r="E161" s="774"/>
      <c r="F161" s="775"/>
      <c r="G161" s="457"/>
      <c r="H161" s="332" t="s">
        <v>2124</v>
      </c>
      <c r="I161" s="776"/>
      <c r="J161" s="170" t="s">
        <v>1449</v>
      </c>
      <c r="K161" s="167">
        <v>4</v>
      </c>
      <c r="L161" s="383">
        <f t="shared" si="11"/>
        <v>0</v>
      </c>
      <c r="M161" s="345">
        <v>0</v>
      </c>
      <c r="N161"/>
      <c r="P161"/>
      <c r="Q161" s="2"/>
      <c r="R161"/>
      <c r="S161" s="2"/>
      <c r="U161" s="10"/>
      <c r="Y161"/>
      <c r="Z161"/>
      <c r="AA161"/>
      <c r="AB161"/>
      <c r="AC161"/>
      <c r="AD161"/>
      <c r="AE161"/>
      <c r="AF161"/>
    </row>
    <row r="162" spans="2:32" s="4" customFormat="1" ht="24" hidden="1" customHeight="1" outlineLevel="1">
      <c r="B162" s="773"/>
      <c r="C162" s="774"/>
      <c r="D162" s="774"/>
      <c r="E162" s="774"/>
      <c r="F162" s="775"/>
      <c r="G162" s="271"/>
      <c r="H162" s="332" t="s">
        <v>2124</v>
      </c>
      <c r="I162" s="776"/>
      <c r="J162" s="169" t="s">
        <v>1449</v>
      </c>
      <c r="K162" s="167">
        <v>4</v>
      </c>
      <c r="L162" s="383">
        <f t="shared" si="11"/>
        <v>0</v>
      </c>
      <c r="M162" s="345">
        <v>0</v>
      </c>
      <c r="N162"/>
      <c r="P162"/>
      <c r="Q162" s="2"/>
      <c r="R162"/>
      <c r="S162" s="2"/>
      <c r="U162" s="10"/>
      <c r="Y162"/>
      <c r="Z162"/>
      <c r="AA162"/>
      <c r="AB162"/>
      <c r="AC162"/>
      <c r="AD162"/>
      <c r="AE162"/>
      <c r="AF162"/>
    </row>
    <row r="163" spans="2:32" s="4" customFormat="1" ht="24" hidden="1" customHeight="1" outlineLevel="1" thickBot="1">
      <c r="B163" s="773"/>
      <c r="C163" s="774"/>
      <c r="D163" s="774"/>
      <c r="E163" s="774"/>
      <c r="F163" s="775"/>
      <c r="G163" s="460"/>
      <c r="H163" s="354" t="s">
        <v>2124</v>
      </c>
      <c r="I163" s="777"/>
      <c r="J163" s="169" t="s">
        <v>1449</v>
      </c>
      <c r="K163" s="168">
        <v>5</v>
      </c>
      <c r="L163" s="383">
        <f t="shared" si="11"/>
        <v>0</v>
      </c>
      <c r="M163" s="345">
        <v>0</v>
      </c>
      <c r="N163"/>
      <c r="P163"/>
      <c r="Q163" s="2"/>
      <c r="R163"/>
      <c r="S163" s="2"/>
      <c r="U163" s="10"/>
      <c r="Y163"/>
      <c r="Z163"/>
      <c r="AA163"/>
      <c r="AB163"/>
      <c r="AC163"/>
      <c r="AD163"/>
      <c r="AE163"/>
      <c r="AF163"/>
    </row>
    <row r="164" spans="2:32" ht="15" customHeight="1" collapsed="1" thickBot="1">
      <c r="B164" s="163" t="s">
        <v>46</v>
      </c>
      <c r="C164" s="163"/>
      <c r="D164" s="163"/>
      <c r="E164" s="163"/>
      <c r="F164" s="163"/>
      <c r="G164" s="165"/>
      <c r="H164" s="12"/>
      <c r="I164" s="12"/>
      <c r="J164" s="12"/>
      <c r="K164" s="12"/>
      <c r="L164" s="370"/>
      <c r="M164" s="370"/>
      <c r="O164"/>
      <c r="P164"/>
      <c r="Q164" s="2"/>
      <c r="R164"/>
      <c r="S164" s="2"/>
      <c r="U164" s="10"/>
      <c r="V164" s="4"/>
      <c r="W164" s="4"/>
      <c r="X164" s="4"/>
    </row>
    <row r="165" spans="2:32" ht="28" customHeight="1" thickBot="1">
      <c r="B165" s="765" t="str">
        <f>B$2</f>
        <v>Damage Assessments for Sustainable Reconstruction in Ukraine</v>
      </c>
      <c r="C165" s="766"/>
      <c r="D165" s="766"/>
      <c r="E165" s="766"/>
      <c r="F165" s="766"/>
      <c r="G165" s="766"/>
      <c r="H165" s="766"/>
      <c r="I165" s="784" t="str">
        <f>I$2</f>
        <v>Irpin Urban Area</v>
      </c>
      <c r="J165" s="785"/>
      <c r="K165" s="786"/>
      <c r="L165" s="371" t="str">
        <f>L$74</f>
        <v>27Jan23</v>
      </c>
      <c r="M165" s="164">
        <v>9</v>
      </c>
      <c r="P165"/>
      <c r="Q165" s="2"/>
      <c r="R165"/>
      <c r="S165" s="2"/>
      <c r="T165"/>
      <c r="V165" s="4"/>
      <c r="W165" s="4"/>
      <c r="X165" s="4"/>
    </row>
    <row r="166" spans="2:32" ht="27" customHeight="1">
      <c r="B166" s="938" t="str">
        <f>Languages!$C$185&amp;" 5"</f>
        <v>Public utilities and services 5</v>
      </c>
      <c r="C166" s="939"/>
      <c r="D166" s="787" t="str">
        <f>Languages!$N$176</f>
        <v>Information on main asset &amp; sub-assets</v>
      </c>
      <c r="E166" s="788" t="str">
        <f>Languages!$I$188</f>
        <v>Area and/or quantity assessed</v>
      </c>
      <c r="F166" s="789"/>
      <c r="G166" s="792" t="str">
        <f>Languages!$M$194</f>
        <v>Enter info on type and area / quantity of assets, type and extent of damage.</v>
      </c>
      <c r="H166" s="809"/>
      <c r="I166" s="796" t="s">
        <v>2118</v>
      </c>
      <c r="J166" s="798" t="str">
        <f>Languages!$K$177</f>
        <v>Approx. repair costs, priority 4 &amp; 5 assets, m. Euro</v>
      </c>
      <c r="K166" s="799"/>
      <c r="L166" s="367">
        <f>IF(K170&gt;3,L171)+IF(K179&gt;3,L180)</f>
        <v>34</v>
      </c>
      <c r="M166" s="368" t="s">
        <v>1966</v>
      </c>
      <c r="P166"/>
      <c r="Q166" s="2"/>
      <c r="R166"/>
      <c r="S166" s="2"/>
      <c r="T166"/>
      <c r="V166" s="4"/>
      <c r="W166" s="4"/>
      <c r="X166" s="4"/>
    </row>
    <row r="167" spans="2:32" ht="27" customHeight="1">
      <c r="B167" s="940"/>
      <c r="C167" s="941"/>
      <c r="D167" s="768"/>
      <c r="E167" s="790"/>
      <c r="F167" s="791"/>
      <c r="G167" s="794"/>
      <c r="H167" s="810"/>
      <c r="I167" s="797"/>
      <c r="J167" s="800" t="str">
        <f>Languages!$K$176</f>
        <v>Approx. total repair costs, m. Euro</v>
      </c>
      <c r="K167" s="801"/>
      <c r="L167" s="448">
        <f>(L171+L180)</f>
        <v>72</v>
      </c>
      <c r="M167" s="369" t="s">
        <v>1966</v>
      </c>
      <c r="P167"/>
      <c r="Q167" s="2"/>
      <c r="R167"/>
      <c r="S167" s="2"/>
      <c r="U167" s="10"/>
      <c r="V167" s="4"/>
      <c r="W167" s="4"/>
      <c r="X167" s="4"/>
    </row>
    <row r="168" spans="2:32" ht="23" customHeight="1">
      <c r="B168" s="940"/>
      <c r="C168" s="941"/>
      <c r="D168" s="768"/>
      <c r="E168" s="802" t="s">
        <v>1546</v>
      </c>
      <c r="F168" s="804" t="str">
        <f>Languages!$N$178</f>
        <v>Unit type</v>
      </c>
      <c r="G168" s="769" t="str">
        <f>G$77</f>
        <v>Asset or Component</v>
      </c>
      <c r="H168" s="767" t="s">
        <v>2251</v>
      </c>
      <c r="I168" s="331" t="s">
        <v>2117</v>
      </c>
      <c r="J168" s="771" t="str">
        <f>Languages!$K$178</f>
        <v>Actions</v>
      </c>
      <c r="K168" s="772"/>
      <c r="L168" s="763" t="s">
        <v>1550</v>
      </c>
      <c r="M168" s="764"/>
      <c r="P168"/>
      <c r="Q168" s="2"/>
      <c r="R168"/>
      <c r="S168" s="2"/>
      <c r="U168" s="10"/>
      <c r="V168" s="4"/>
      <c r="W168" s="4"/>
      <c r="X168" s="4"/>
    </row>
    <row r="169" spans="2:32" s="4" customFormat="1" ht="27" customHeight="1" thickBot="1">
      <c r="B169" s="940"/>
      <c r="C169" s="941"/>
      <c r="D169" s="768"/>
      <c r="E169" s="803"/>
      <c r="F169" s="805"/>
      <c r="G169" s="770"/>
      <c r="H169" s="768"/>
      <c r="I169" s="330" t="str">
        <f>Languages!$E$190</f>
        <v>Social Impact level</v>
      </c>
      <c r="J169" s="492" t="str">
        <f>Languages!$K$185</f>
        <v>Action required</v>
      </c>
      <c r="K169" s="504" t="str">
        <f>Languages!$G$193</f>
        <v>Priority 
1 - 5</v>
      </c>
      <c r="L169" s="541" t="s">
        <v>1551</v>
      </c>
      <c r="M169" s="543" t="s">
        <v>1774</v>
      </c>
      <c r="N169"/>
      <c r="P169"/>
      <c r="R169"/>
      <c r="S169" s="2"/>
      <c r="U169" s="10"/>
      <c r="Y169"/>
      <c r="Z169"/>
      <c r="AA169"/>
      <c r="AB169"/>
      <c r="AC169"/>
      <c r="AD169"/>
      <c r="AE169"/>
      <c r="AF169"/>
    </row>
    <row r="170" spans="2:32" s="4" customFormat="1" ht="24" customHeight="1">
      <c r="B170" s="739" t="str">
        <f>Languages!$C$220&amp;"s "</f>
        <v xml:space="preserve">Wind turbine farms </v>
      </c>
      <c r="C170" s="740"/>
      <c r="D170" s="553" t="s">
        <v>2178</v>
      </c>
      <c r="E170" s="817">
        <v>11</v>
      </c>
      <c r="F170" s="817"/>
      <c r="G170" s="711" t="str">
        <f>G$11</f>
        <v>Asset / Component</v>
      </c>
      <c r="H170" s="734" t="s">
        <v>2123</v>
      </c>
      <c r="I170" s="545" t="s">
        <v>2103</v>
      </c>
      <c r="J170" s="711" t="s">
        <v>2212</v>
      </c>
      <c r="K170" s="721">
        <f>SUM(K173:K175)/3</f>
        <v>4</v>
      </c>
      <c r="L170" s="546" t="s">
        <v>2231</v>
      </c>
      <c r="M170" s="757"/>
      <c r="N170"/>
      <c r="P170"/>
      <c r="R170"/>
      <c r="S170" s="2"/>
      <c r="U170" s="10"/>
      <c r="Y170"/>
      <c r="Z170"/>
      <c r="AA170"/>
      <c r="AB170"/>
      <c r="AC170"/>
      <c r="AD170"/>
      <c r="AE170"/>
      <c r="AF170"/>
    </row>
    <row r="171" spans="2:32" s="4" customFormat="1" ht="24" customHeight="1" thickBot="1">
      <c r="B171" s="741"/>
      <c r="C171" s="742"/>
      <c r="D171" s="568" t="s">
        <v>1769</v>
      </c>
      <c r="E171" s="861">
        <f>E170*E172</f>
        <v>165</v>
      </c>
      <c r="F171" s="861"/>
      <c r="G171" s="712"/>
      <c r="H171" s="735"/>
      <c r="I171" s="380" t="s">
        <v>2120</v>
      </c>
      <c r="J171" s="712"/>
      <c r="K171" s="722"/>
      <c r="L171" s="452">
        <f>SUM(M173:M175)</f>
        <v>34</v>
      </c>
      <c r="M171" s="811"/>
      <c r="N171"/>
      <c r="P171"/>
      <c r="R171"/>
      <c r="S171" s="2"/>
      <c r="U171" s="10"/>
      <c r="Y171"/>
      <c r="Z171"/>
      <c r="AA171"/>
      <c r="AB171"/>
      <c r="AC171"/>
      <c r="AD171"/>
      <c r="AE171"/>
      <c r="AF171"/>
    </row>
    <row r="172" spans="2:32" s="4" customFormat="1" ht="24" hidden="1" customHeight="1" outlineLevel="1">
      <c r="B172" s="517"/>
      <c r="C172" s="518"/>
      <c r="D172" s="554" t="s">
        <v>1557</v>
      </c>
      <c r="E172" s="557">
        <v>15</v>
      </c>
      <c r="F172" s="528" t="s">
        <v>1558</v>
      </c>
      <c r="G172" s="461" t="s">
        <v>2130</v>
      </c>
      <c r="H172" s="523" t="s">
        <v>2250</v>
      </c>
      <c r="I172" s="457"/>
      <c r="J172" s="523" t="s">
        <v>28</v>
      </c>
      <c r="K172" s="524" t="str">
        <f>Languages!$G$193</f>
        <v>Priority 
1 - 5</v>
      </c>
      <c r="L172" s="812"/>
      <c r="M172" s="813"/>
      <c r="N172"/>
      <c r="P172"/>
      <c r="R172"/>
      <c r="S172" s="2"/>
      <c r="U172" s="10"/>
      <c r="Y172"/>
      <c r="Z172"/>
      <c r="AA172"/>
      <c r="AB172"/>
      <c r="AC172"/>
      <c r="AD172"/>
      <c r="AE172"/>
      <c r="AF172"/>
    </row>
    <row r="173" spans="2:32" s="4" customFormat="1" ht="24" hidden="1" customHeight="1" outlineLevel="1">
      <c r="B173" s="778" t="s">
        <v>2230</v>
      </c>
      <c r="C173" s="779"/>
      <c r="D173" s="779"/>
      <c r="E173" s="779"/>
      <c r="F173" s="780"/>
      <c r="G173" s="357" t="s">
        <v>1983</v>
      </c>
      <c r="H173" s="332" t="s">
        <v>2124</v>
      </c>
      <c r="I173" s="823" t="s">
        <v>2141</v>
      </c>
      <c r="J173" s="343" t="s">
        <v>1449</v>
      </c>
      <c r="K173" s="322">
        <v>4</v>
      </c>
      <c r="L173" s="383">
        <f>E$170*E$172*M173</f>
        <v>990</v>
      </c>
      <c r="M173" s="345">
        <v>6</v>
      </c>
      <c r="N173"/>
      <c r="P173"/>
      <c r="R173"/>
      <c r="S173" s="2"/>
      <c r="U173" s="10"/>
      <c r="Y173"/>
      <c r="Z173"/>
      <c r="AA173"/>
      <c r="AB173"/>
      <c r="AC173"/>
      <c r="AD173"/>
      <c r="AE173"/>
      <c r="AF173"/>
    </row>
    <row r="174" spans="2:32" s="4" customFormat="1" ht="24" hidden="1" customHeight="1" outlineLevel="1">
      <c r="B174" s="781"/>
      <c r="C174" s="782"/>
      <c r="D174" s="782"/>
      <c r="E174" s="782"/>
      <c r="F174" s="783"/>
      <c r="G174" s="238" t="s">
        <v>1983</v>
      </c>
      <c r="H174" s="332" t="s">
        <v>2124</v>
      </c>
      <c r="I174" s="776"/>
      <c r="J174" s="169" t="s">
        <v>1449</v>
      </c>
      <c r="K174" s="167">
        <v>5</v>
      </c>
      <c r="L174" s="383">
        <f t="shared" ref="L174:L178" si="12">E$170*E$172*M174</f>
        <v>2640</v>
      </c>
      <c r="M174" s="345">
        <v>16</v>
      </c>
      <c r="N174"/>
      <c r="P174"/>
      <c r="R174"/>
      <c r="S174" s="2"/>
      <c r="U174" s="10"/>
      <c r="Y174"/>
      <c r="Z174"/>
      <c r="AA174"/>
      <c r="AB174"/>
      <c r="AC174"/>
      <c r="AD174"/>
      <c r="AE174"/>
      <c r="AF174"/>
    </row>
    <row r="175" spans="2:32" s="4" customFormat="1" ht="24" hidden="1" customHeight="1" outlineLevel="1">
      <c r="B175" s="781"/>
      <c r="C175" s="782"/>
      <c r="D175" s="782"/>
      <c r="E175" s="782"/>
      <c r="F175" s="783"/>
      <c r="G175" s="238" t="s">
        <v>1947</v>
      </c>
      <c r="H175" s="333" t="s">
        <v>2124</v>
      </c>
      <c r="I175" s="776"/>
      <c r="J175" s="169" t="s">
        <v>1449</v>
      </c>
      <c r="K175" s="167">
        <v>3</v>
      </c>
      <c r="L175" s="383">
        <f t="shared" si="12"/>
        <v>1980</v>
      </c>
      <c r="M175" s="345">
        <v>12</v>
      </c>
      <c r="N175"/>
      <c r="P175"/>
      <c r="R175"/>
      <c r="S175" s="2"/>
      <c r="U175" s="10"/>
      <c r="Y175"/>
      <c r="Z175"/>
      <c r="AA175"/>
      <c r="AB175"/>
      <c r="AC175"/>
      <c r="AD175"/>
      <c r="AE175"/>
      <c r="AF175"/>
    </row>
    <row r="176" spans="2:32" s="4" customFormat="1" ht="24" hidden="1" customHeight="1" outlineLevel="1">
      <c r="B176" s="773"/>
      <c r="C176" s="774"/>
      <c r="D176" s="774"/>
      <c r="E176" s="774"/>
      <c r="F176" s="775"/>
      <c r="G176" s="457"/>
      <c r="H176" s="332" t="s">
        <v>2124</v>
      </c>
      <c r="I176" s="776"/>
      <c r="J176" s="170" t="s">
        <v>1449</v>
      </c>
      <c r="K176" s="167">
        <v>3</v>
      </c>
      <c r="L176" s="383">
        <f t="shared" si="12"/>
        <v>0</v>
      </c>
      <c r="M176" s="345">
        <v>0</v>
      </c>
      <c r="N176"/>
      <c r="P176"/>
      <c r="Q176" s="2"/>
      <c r="R176"/>
      <c r="S176" s="2"/>
      <c r="U176" s="10"/>
      <c r="Y176"/>
      <c r="Z176"/>
      <c r="AA176"/>
      <c r="AB176"/>
      <c r="AC176"/>
      <c r="AD176"/>
      <c r="AE176"/>
      <c r="AF176"/>
    </row>
    <row r="177" spans="2:32" s="4" customFormat="1" ht="24" hidden="1" customHeight="1" outlineLevel="1">
      <c r="B177" s="773"/>
      <c r="C177" s="774"/>
      <c r="D177" s="774"/>
      <c r="E177" s="774"/>
      <c r="F177" s="775"/>
      <c r="G177" s="271"/>
      <c r="H177" s="332" t="s">
        <v>2124</v>
      </c>
      <c r="I177" s="776"/>
      <c r="J177" s="169" t="s">
        <v>1449</v>
      </c>
      <c r="K177" s="167">
        <v>3</v>
      </c>
      <c r="L177" s="383">
        <f t="shared" si="12"/>
        <v>0</v>
      </c>
      <c r="M177" s="345">
        <v>0</v>
      </c>
      <c r="N177"/>
      <c r="P177"/>
      <c r="Q177" s="2"/>
      <c r="R177"/>
      <c r="S177" s="2"/>
      <c r="U177" s="10"/>
      <c r="Y177"/>
      <c r="Z177"/>
      <c r="AA177"/>
      <c r="AB177"/>
      <c r="AC177"/>
      <c r="AD177"/>
      <c r="AE177"/>
      <c r="AF177"/>
    </row>
    <row r="178" spans="2:32" s="4" customFormat="1" ht="24" hidden="1" customHeight="1" outlineLevel="1" thickBot="1">
      <c r="B178" s="773"/>
      <c r="C178" s="774"/>
      <c r="D178" s="774"/>
      <c r="E178" s="774"/>
      <c r="F178" s="775"/>
      <c r="G178" s="460"/>
      <c r="H178" s="443" t="s">
        <v>2124</v>
      </c>
      <c r="I178" s="776"/>
      <c r="J178" s="169" t="s">
        <v>1449</v>
      </c>
      <c r="K178" s="456">
        <v>3</v>
      </c>
      <c r="L178" s="544">
        <f t="shared" si="12"/>
        <v>0</v>
      </c>
      <c r="M178" s="356">
        <v>0</v>
      </c>
      <c r="N178"/>
      <c r="P178"/>
      <c r="Q178" s="2"/>
      <c r="R178"/>
      <c r="S178" s="2"/>
      <c r="U178" s="10"/>
      <c r="Y178"/>
      <c r="Z178"/>
      <c r="AA178"/>
      <c r="AB178"/>
      <c r="AC178"/>
      <c r="AD178"/>
      <c r="AE178"/>
      <c r="AF178"/>
    </row>
    <row r="179" spans="2:32" ht="24" customHeight="1" collapsed="1">
      <c r="B179" s="739" t="str">
        <f>Languages!$C$221</f>
        <v>Energy storage facility</v>
      </c>
      <c r="C179" s="740"/>
      <c r="D179" s="553" t="s">
        <v>2178</v>
      </c>
      <c r="E179" s="817">
        <v>60</v>
      </c>
      <c r="F179" s="818"/>
      <c r="G179" s="711" t="str">
        <f>G$11</f>
        <v>Asset / Component</v>
      </c>
      <c r="H179" s="734" t="s">
        <v>2123</v>
      </c>
      <c r="I179" s="545" t="s">
        <v>2103</v>
      </c>
      <c r="J179" s="711" t="s">
        <v>2212</v>
      </c>
      <c r="K179" s="807">
        <f>SUM(K182:K187)/7</f>
        <v>2.7142857142857144</v>
      </c>
      <c r="L179" s="546" t="s">
        <v>2214</v>
      </c>
      <c r="M179" s="757"/>
      <c r="P179"/>
      <c r="Q179" s="2"/>
      <c r="R179"/>
      <c r="S179"/>
      <c r="T179"/>
    </row>
    <row r="180" spans="2:32" ht="24" customHeight="1" thickBot="1">
      <c r="B180" s="741"/>
      <c r="C180" s="742"/>
      <c r="D180" s="568" t="str">
        <f>D$80</f>
        <v>Aggregate output, MW</v>
      </c>
      <c r="E180" s="861">
        <f>E179*E181</f>
        <v>5400</v>
      </c>
      <c r="F180" s="861"/>
      <c r="G180" s="712"/>
      <c r="H180" s="735"/>
      <c r="I180" s="380" t="s">
        <v>2120</v>
      </c>
      <c r="J180" s="712"/>
      <c r="K180" s="822"/>
      <c r="L180" s="452">
        <f>SUM(M182:M187)</f>
        <v>38</v>
      </c>
      <c r="M180" s="811"/>
      <c r="P180"/>
      <c r="Q180" s="2"/>
      <c r="R180"/>
      <c r="S180"/>
      <c r="T180"/>
    </row>
    <row r="181" spans="2:32" s="4" customFormat="1" ht="24" hidden="1" customHeight="1" outlineLevel="1">
      <c r="B181" s="517"/>
      <c r="C181" s="518"/>
      <c r="D181" s="554" t="s">
        <v>1626</v>
      </c>
      <c r="E181" s="557">
        <v>90</v>
      </c>
      <c r="F181" s="359" t="s">
        <v>1625</v>
      </c>
      <c r="G181" s="461" t="s">
        <v>2130</v>
      </c>
      <c r="H181" s="523" t="s">
        <v>2250</v>
      </c>
      <c r="I181" s="529"/>
      <c r="J181" s="523" t="s">
        <v>28</v>
      </c>
      <c r="K181" s="524" t="str">
        <f>Languages!$G$193</f>
        <v>Priority 
1 - 5</v>
      </c>
      <c r="L181" s="761"/>
      <c r="M181" s="762"/>
      <c r="N181"/>
      <c r="P181"/>
      <c r="R181"/>
      <c r="S181" s="2"/>
      <c r="U181" s="10"/>
      <c r="Y181"/>
      <c r="Z181"/>
      <c r="AA181"/>
      <c r="AB181"/>
      <c r="AC181"/>
      <c r="AD181"/>
      <c r="AE181"/>
      <c r="AF181"/>
    </row>
    <row r="182" spans="2:32" s="4" customFormat="1" ht="24" hidden="1" customHeight="1" outlineLevel="1">
      <c r="B182" s="778"/>
      <c r="C182" s="779"/>
      <c r="D182" s="779"/>
      <c r="E182" s="779"/>
      <c r="F182" s="780"/>
      <c r="G182" s="357" t="s">
        <v>2038</v>
      </c>
      <c r="H182" s="332" t="s">
        <v>2124</v>
      </c>
      <c r="I182" s="911" t="s">
        <v>2141</v>
      </c>
      <c r="J182" s="378" t="s">
        <v>1473</v>
      </c>
      <c r="K182" s="322">
        <v>2</v>
      </c>
      <c r="L182" s="334">
        <f t="shared" ref="L182:L187" si="13">M182</f>
        <v>6</v>
      </c>
      <c r="M182" s="345">
        <v>6</v>
      </c>
      <c r="N182"/>
      <c r="O182" s="2"/>
      <c r="P182"/>
      <c r="Q182" s="2"/>
      <c r="R182"/>
      <c r="S182" s="2"/>
      <c r="U182" s="10"/>
      <c r="Y182"/>
      <c r="Z182"/>
      <c r="AA182"/>
      <c r="AB182"/>
      <c r="AC182"/>
      <c r="AD182"/>
      <c r="AE182"/>
      <c r="AF182"/>
    </row>
    <row r="183" spans="2:32" s="4" customFormat="1" ht="24" hidden="1" customHeight="1" outlineLevel="1">
      <c r="B183" s="781"/>
      <c r="C183" s="782"/>
      <c r="D183" s="782"/>
      <c r="E183" s="782"/>
      <c r="F183" s="783"/>
      <c r="G183" s="238" t="s">
        <v>1946</v>
      </c>
      <c r="H183" s="332" t="s">
        <v>2124</v>
      </c>
      <c r="I183" s="912"/>
      <c r="J183" s="170" t="s">
        <v>1454</v>
      </c>
      <c r="K183" s="167">
        <v>5</v>
      </c>
      <c r="L183" s="334">
        <f t="shared" si="13"/>
        <v>16</v>
      </c>
      <c r="M183" s="345">
        <v>16</v>
      </c>
      <c r="N183"/>
      <c r="O183" s="2"/>
      <c r="P183"/>
      <c r="Q183" s="2"/>
      <c r="R183"/>
      <c r="S183" s="2"/>
      <c r="U183" s="10"/>
      <c r="Y183"/>
      <c r="Z183"/>
      <c r="AA183"/>
      <c r="AB183"/>
      <c r="AC183"/>
      <c r="AD183"/>
      <c r="AE183"/>
      <c r="AF183"/>
    </row>
    <row r="184" spans="2:32" s="4" customFormat="1" ht="24" hidden="1" customHeight="1" outlineLevel="1">
      <c r="B184" s="781"/>
      <c r="C184" s="782"/>
      <c r="D184" s="782"/>
      <c r="E184" s="782"/>
      <c r="F184" s="783"/>
      <c r="G184" s="238" t="s">
        <v>2036</v>
      </c>
      <c r="H184" s="332" t="s">
        <v>2123</v>
      </c>
      <c r="I184" s="912"/>
      <c r="J184" s="170" t="s">
        <v>1448</v>
      </c>
      <c r="K184" s="167">
        <v>3</v>
      </c>
      <c r="L184" s="334">
        <f t="shared" si="13"/>
        <v>16</v>
      </c>
      <c r="M184" s="345">
        <v>16</v>
      </c>
      <c r="N184"/>
      <c r="O184" s="2"/>
      <c r="P184"/>
      <c r="Q184" s="2"/>
      <c r="R184"/>
      <c r="S184" s="2"/>
      <c r="U184" s="10"/>
      <c r="Y184"/>
      <c r="Z184"/>
      <c r="AA184"/>
      <c r="AB184"/>
      <c r="AC184"/>
      <c r="AD184"/>
      <c r="AE184"/>
      <c r="AF184"/>
    </row>
    <row r="185" spans="2:32" s="4" customFormat="1" ht="24" hidden="1" customHeight="1" outlineLevel="1">
      <c r="B185" s="781"/>
      <c r="C185" s="782"/>
      <c r="D185" s="782"/>
      <c r="E185" s="782"/>
      <c r="F185" s="783"/>
      <c r="G185" s="271"/>
      <c r="H185" s="332" t="s">
        <v>2124</v>
      </c>
      <c r="I185" s="912"/>
      <c r="J185" s="170" t="s">
        <v>1473</v>
      </c>
      <c r="K185" s="167">
        <v>3</v>
      </c>
      <c r="L185" s="334">
        <f t="shared" si="13"/>
        <v>0</v>
      </c>
      <c r="M185" s="345">
        <v>0</v>
      </c>
      <c r="N185"/>
      <c r="O185" s="2"/>
      <c r="P185"/>
      <c r="Q185" s="2"/>
      <c r="R185"/>
      <c r="S185" s="2"/>
      <c r="U185" s="10"/>
      <c r="Y185"/>
      <c r="Z185"/>
      <c r="AA185"/>
      <c r="AB185"/>
      <c r="AC185"/>
      <c r="AD185"/>
      <c r="AE185"/>
      <c r="AF185"/>
    </row>
    <row r="186" spans="2:32" s="4" customFormat="1" ht="24" hidden="1" customHeight="1" outlineLevel="1">
      <c r="B186" s="781"/>
      <c r="C186" s="782"/>
      <c r="D186" s="782"/>
      <c r="E186" s="782"/>
      <c r="F186" s="783"/>
      <c r="G186" s="271"/>
      <c r="H186" s="332" t="s">
        <v>2124</v>
      </c>
      <c r="I186" s="912"/>
      <c r="J186" s="170" t="s">
        <v>1473</v>
      </c>
      <c r="K186" s="167">
        <v>3</v>
      </c>
      <c r="L186" s="334">
        <f t="shared" si="13"/>
        <v>0</v>
      </c>
      <c r="M186" s="345">
        <v>0</v>
      </c>
      <c r="N186"/>
      <c r="O186" s="2"/>
      <c r="P186"/>
      <c r="Q186" s="2"/>
      <c r="R186"/>
      <c r="S186" s="2"/>
      <c r="U186" s="10"/>
      <c r="Y186"/>
      <c r="Z186"/>
      <c r="AA186"/>
      <c r="AB186"/>
      <c r="AC186"/>
      <c r="AD186"/>
      <c r="AE186"/>
      <c r="AF186"/>
    </row>
    <row r="187" spans="2:32" s="4" customFormat="1" ht="24" hidden="1" customHeight="1" outlineLevel="1" thickBot="1">
      <c r="B187" s="824"/>
      <c r="C187" s="825"/>
      <c r="D187" s="825"/>
      <c r="E187" s="825"/>
      <c r="F187" s="826"/>
      <c r="G187" s="460"/>
      <c r="H187" s="332" t="s">
        <v>2124</v>
      </c>
      <c r="I187" s="913"/>
      <c r="J187" s="170" t="s">
        <v>1473</v>
      </c>
      <c r="K187" s="167">
        <v>3</v>
      </c>
      <c r="L187" s="334">
        <f t="shared" si="13"/>
        <v>0</v>
      </c>
      <c r="M187" s="345">
        <v>0</v>
      </c>
      <c r="N187"/>
      <c r="O187" s="2"/>
      <c r="P187"/>
      <c r="Q187" s="2"/>
      <c r="R187"/>
      <c r="S187" s="2"/>
      <c r="U187" s="10"/>
      <c r="Y187"/>
      <c r="Z187"/>
      <c r="AA187"/>
      <c r="AB187"/>
      <c r="AC187"/>
      <c r="AD187"/>
      <c r="AE187"/>
      <c r="AF187"/>
    </row>
    <row r="188" spans="2:32" ht="15" customHeight="1" collapsed="1" thickBot="1">
      <c r="B188" s="163" t="s">
        <v>46</v>
      </c>
      <c r="C188" s="163"/>
      <c r="D188" s="163"/>
      <c r="E188" s="163"/>
      <c r="F188" s="163"/>
      <c r="G188" s="165"/>
      <c r="H188" s="12"/>
      <c r="I188" s="12"/>
      <c r="J188" s="12"/>
      <c r="K188" s="12"/>
      <c r="L188" s="370"/>
      <c r="M188" s="370"/>
      <c r="O188"/>
      <c r="P188"/>
      <c r="Q188" s="2"/>
      <c r="R188"/>
      <c r="S188" s="2"/>
      <c r="U188" s="10"/>
      <c r="V188" s="4"/>
      <c r="W188" s="4"/>
      <c r="X188" s="4"/>
    </row>
    <row r="189" spans="2:32" ht="28" customHeight="1" thickBot="1">
      <c r="B189" s="765" t="str">
        <f>B$2</f>
        <v>Damage Assessments for Sustainable Reconstruction in Ukraine</v>
      </c>
      <c r="C189" s="766"/>
      <c r="D189" s="766"/>
      <c r="E189" s="766"/>
      <c r="F189" s="766"/>
      <c r="G189" s="766"/>
      <c r="H189" s="766"/>
      <c r="I189" s="784" t="str">
        <f>I$2</f>
        <v>Irpin Urban Area</v>
      </c>
      <c r="J189" s="785"/>
      <c r="K189" s="786"/>
      <c r="L189" s="371" t="str">
        <f>L$74</f>
        <v>27Jan23</v>
      </c>
      <c r="M189" s="164">
        <v>10</v>
      </c>
      <c r="P189"/>
      <c r="Q189" s="2"/>
      <c r="R189"/>
      <c r="S189" s="2"/>
      <c r="T189"/>
      <c r="V189" s="4"/>
      <c r="W189" s="4"/>
      <c r="X189" s="4"/>
    </row>
    <row r="190" spans="2:32" ht="27" customHeight="1">
      <c r="B190" s="938" t="str">
        <f>Languages!$C$185&amp;" 6"</f>
        <v>Public utilities and services 6</v>
      </c>
      <c r="C190" s="939"/>
      <c r="D190" s="891"/>
      <c r="E190" s="907" t="str">
        <f>Languages!$I$188</f>
        <v>Area and/or quantity assessed</v>
      </c>
      <c r="F190" s="908"/>
      <c r="G190" s="792" t="str">
        <f>Languages!$M$194</f>
        <v>Enter info on type and area / quantity of assets, type and extent of damage.</v>
      </c>
      <c r="H190" s="809"/>
      <c r="I190" s="796" t="s">
        <v>2118</v>
      </c>
      <c r="J190" s="798" t="str">
        <f>Languages!$K$177</f>
        <v>Approx. repair costs, priority 4 &amp; 5 assets, m. Euro</v>
      </c>
      <c r="K190" s="799"/>
      <c r="L190" s="367">
        <f>IF(K194&gt;3,L195)+IF(K203&gt;3,L204)</f>
        <v>38</v>
      </c>
      <c r="M190" s="368" t="s">
        <v>1966</v>
      </c>
      <c r="P190"/>
      <c r="Q190" s="2"/>
      <c r="R190"/>
      <c r="S190" s="2"/>
      <c r="T190"/>
      <c r="V190" s="4"/>
      <c r="W190" s="4"/>
      <c r="X190" s="4"/>
    </row>
    <row r="191" spans="2:32" ht="27" customHeight="1">
      <c r="B191" s="940"/>
      <c r="C191" s="941"/>
      <c r="D191" s="892"/>
      <c r="E191" s="909"/>
      <c r="F191" s="910"/>
      <c r="G191" s="794"/>
      <c r="H191" s="810"/>
      <c r="I191" s="797"/>
      <c r="J191" s="800" t="str">
        <f>Languages!$K$176</f>
        <v>Approx. total repair costs, m. Euro</v>
      </c>
      <c r="K191" s="801"/>
      <c r="L191" s="448">
        <f>(L195+L204)</f>
        <v>76</v>
      </c>
      <c r="M191" s="369" t="s">
        <v>1966</v>
      </c>
      <c r="P191"/>
      <c r="Q191" s="2"/>
      <c r="R191"/>
      <c r="S191" s="2"/>
      <c r="U191" s="10"/>
      <c r="V191" s="4"/>
      <c r="W191" s="4"/>
      <c r="X191" s="4"/>
    </row>
    <row r="192" spans="2:32" ht="22" customHeight="1">
      <c r="B192" s="940"/>
      <c r="C192" s="941"/>
      <c r="D192" s="892"/>
      <c r="E192" s="802" t="s">
        <v>1546</v>
      </c>
      <c r="F192" s="804" t="str">
        <f>Languages!$N$178</f>
        <v>Unit type</v>
      </c>
      <c r="G192" s="769" t="str">
        <f>G$77</f>
        <v>Asset or Component</v>
      </c>
      <c r="H192" s="767" t="s">
        <v>2251</v>
      </c>
      <c r="I192" s="331" t="s">
        <v>2117</v>
      </c>
      <c r="J192" s="771" t="str">
        <f>Languages!$K$178</f>
        <v>Actions</v>
      </c>
      <c r="K192" s="772"/>
      <c r="L192" s="763" t="s">
        <v>1550</v>
      </c>
      <c r="M192" s="764"/>
      <c r="P192"/>
      <c r="Q192" s="2"/>
      <c r="R192"/>
      <c r="S192" s="2"/>
      <c r="U192" s="10"/>
      <c r="V192" s="4"/>
      <c r="W192" s="4"/>
      <c r="X192" s="4"/>
    </row>
    <row r="193" spans="2:32" s="4" customFormat="1" ht="24" customHeight="1" thickBot="1">
      <c r="B193" s="940"/>
      <c r="C193" s="941"/>
      <c r="D193" s="892"/>
      <c r="E193" s="803"/>
      <c r="F193" s="805"/>
      <c r="G193" s="770"/>
      <c r="H193" s="768"/>
      <c r="I193" s="330" t="str">
        <f>Languages!$E$190</f>
        <v>Social Impact level</v>
      </c>
      <c r="J193" s="492" t="str">
        <f>Languages!$K$185</f>
        <v>Action required</v>
      </c>
      <c r="K193" s="504" t="str">
        <f>Languages!$G$193</f>
        <v>Priority 
1 - 5</v>
      </c>
      <c r="L193" s="541" t="s">
        <v>2215</v>
      </c>
      <c r="M193" s="543" t="s">
        <v>1774</v>
      </c>
      <c r="N193"/>
      <c r="P193"/>
      <c r="R193"/>
      <c r="S193" s="2"/>
      <c r="U193" s="10"/>
      <c r="Y193"/>
      <c r="Z193"/>
      <c r="AA193"/>
      <c r="AB193"/>
      <c r="AC193"/>
      <c r="AD193"/>
      <c r="AE193"/>
      <c r="AF193"/>
    </row>
    <row r="194" spans="2:32" s="4" customFormat="1" ht="26" customHeight="1">
      <c r="B194" s="739" t="str">
        <f>Languages!$C$223</f>
        <v>High-voltage elec. distribution</v>
      </c>
      <c r="C194" s="740"/>
      <c r="D194" s="553" t="s">
        <v>2178</v>
      </c>
      <c r="E194" s="817">
        <v>50</v>
      </c>
      <c r="F194" s="818"/>
      <c r="G194" s="711" t="str">
        <f>G$11</f>
        <v>Asset / Component</v>
      </c>
      <c r="H194" s="734" t="s">
        <v>2123</v>
      </c>
      <c r="I194" s="545" t="s">
        <v>2103</v>
      </c>
      <c r="J194" s="711" t="s">
        <v>2212</v>
      </c>
      <c r="K194" s="807">
        <f>SUM(K197:K199)/4</f>
        <v>3</v>
      </c>
      <c r="L194" s="546" t="s">
        <v>2214</v>
      </c>
      <c r="M194" s="757"/>
      <c r="N194"/>
      <c r="P194"/>
      <c r="R194"/>
      <c r="S194" s="2"/>
      <c r="U194" s="10"/>
      <c r="Y194"/>
      <c r="Z194"/>
      <c r="AA194"/>
      <c r="AB194"/>
      <c r="AC194"/>
      <c r="AD194"/>
      <c r="AE194"/>
      <c r="AF194"/>
    </row>
    <row r="195" spans="2:32" s="4" customFormat="1" ht="23" customHeight="1" thickBot="1">
      <c r="B195" s="741"/>
      <c r="C195" s="742"/>
      <c r="D195" s="569" t="str">
        <f>D$80</f>
        <v>Aggregate output, MW</v>
      </c>
      <c r="E195" s="759">
        <f>E194*E196</f>
        <v>300000</v>
      </c>
      <c r="F195" s="760"/>
      <c r="G195" s="806"/>
      <c r="H195" s="914"/>
      <c r="I195" s="567" t="s">
        <v>2120</v>
      </c>
      <c r="J195" s="806"/>
      <c r="K195" s="808"/>
      <c r="L195" s="570">
        <f>SUM(M197:M199)</f>
        <v>38</v>
      </c>
      <c r="M195" s="758"/>
      <c r="N195"/>
      <c r="P195"/>
      <c r="R195"/>
      <c r="S195" s="2"/>
      <c r="U195" s="10"/>
      <c r="Y195"/>
      <c r="Z195"/>
      <c r="AA195"/>
      <c r="AB195"/>
      <c r="AC195"/>
      <c r="AD195"/>
      <c r="AE195"/>
      <c r="AF195"/>
    </row>
    <row r="196" spans="2:32" s="4" customFormat="1" ht="24" hidden="1" customHeight="1" outlineLevel="1">
      <c r="B196" s="477"/>
      <c r="C196" s="478"/>
      <c r="D196" s="554" t="s">
        <v>1557</v>
      </c>
      <c r="E196" s="557">
        <v>6000</v>
      </c>
      <c r="F196" s="339" t="s">
        <v>1558</v>
      </c>
      <c r="G196" s="461" t="s">
        <v>2130</v>
      </c>
      <c r="H196" s="523" t="s">
        <v>2250</v>
      </c>
      <c r="I196" s="324"/>
      <c r="J196" s="523" t="s">
        <v>28</v>
      </c>
      <c r="K196" s="524" t="str">
        <f>Languages!$G$193</f>
        <v>Priority 
1 - 5</v>
      </c>
      <c r="L196" s="761"/>
      <c r="M196" s="762"/>
      <c r="N196"/>
      <c r="P196"/>
      <c r="R196"/>
      <c r="S196" s="2"/>
      <c r="U196" s="10"/>
      <c r="Y196"/>
      <c r="Z196"/>
      <c r="AA196"/>
      <c r="AB196"/>
      <c r="AC196"/>
      <c r="AD196"/>
      <c r="AE196"/>
      <c r="AF196"/>
    </row>
    <row r="197" spans="2:32" s="4" customFormat="1" ht="24" hidden="1" customHeight="1" outlineLevel="1">
      <c r="B197" s="778"/>
      <c r="C197" s="779"/>
      <c r="D197" s="779"/>
      <c r="E197" s="779"/>
      <c r="F197" s="780"/>
      <c r="G197" s="357" t="s">
        <v>2038</v>
      </c>
      <c r="H197" s="332" t="s">
        <v>2124</v>
      </c>
      <c r="I197" s="827" t="s">
        <v>2147</v>
      </c>
      <c r="J197" s="378" t="s">
        <v>1473</v>
      </c>
      <c r="K197" s="322">
        <v>2</v>
      </c>
      <c r="L197" s="334">
        <f t="shared" ref="L197:L202" si="14">M197</f>
        <v>16</v>
      </c>
      <c r="M197" s="345">
        <v>16</v>
      </c>
      <c r="N197"/>
      <c r="P197"/>
      <c r="R197"/>
      <c r="S197" s="2"/>
      <c r="U197" s="10"/>
      <c r="Y197"/>
      <c r="Z197"/>
      <c r="AA197"/>
      <c r="AB197"/>
      <c r="AC197"/>
      <c r="AD197"/>
      <c r="AE197"/>
      <c r="AF197"/>
    </row>
    <row r="198" spans="2:32" s="4" customFormat="1" ht="24" hidden="1" customHeight="1" outlineLevel="1">
      <c r="B198" s="781"/>
      <c r="C198" s="782"/>
      <c r="D198" s="782"/>
      <c r="E198" s="782"/>
      <c r="F198" s="783"/>
      <c r="G198" s="238" t="s">
        <v>1946</v>
      </c>
      <c r="H198" s="332" t="s">
        <v>2124</v>
      </c>
      <c r="I198" s="827"/>
      <c r="J198" s="170" t="s">
        <v>1454</v>
      </c>
      <c r="K198" s="167">
        <v>5</v>
      </c>
      <c r="L198" s="334">
        <f t="shared" si="14"/>
        <v>6</v>
      </c>
      <c r="M198" s="345">
        <v>6</v>
      </c>
      <c r="N198"/>
      <c r="P198"/>
      <c r="R198"/>
      <c r="S198" s="2"/>
      <c r="U198" s="10"/>
      <c r="Y198"/>
      <c r="Z198"/>
      <c r="AA198"/>
      <c r="AB198"/>
      <c r="AC198"/>
      <c r="AD198"/>
      <c r="AE198"/>
      <c r="AF198"/>
    </row>
    <row r="199" spans="2:32" s="4" customFormat="1" ht="24" hidden="1" customHeight="1" outlineLevel="1">
      <c r="B199" s="781"/>
      <c r="C199" s="782"/>
      <c r="D199" s="782"/>
      <c r="E199" s="782"/>
      <c r="F199" s="783"/>
      <c r="G199" s="238" t="s">
        <v>1947</v>
      </c>
      <c r="H199" s="332" t="s">
        <v>2125</v>
      </c>
      <c r="I199" s="827"/>
      <c r="J199" s="170" t="s">
        <v>1447</v>
      </c>
      <c r="K199" s="167">
        <v>5</v>
      </c>
      <c r="L199" s="334">
        <f t="shared" si="14"/>
        <v>16</v>
      </c>
      <c r="M199" s="345">
        <v>16</v>
      </c>
      <c r="N199"/>
      <c r="O199" s="2"/>
      <c r="P199"/>
      <c r="Q199" s="2"/>
      <c r="R199"/>
      <c r="S199" s="2"/>
      <c r="U199" s="10"/>
      <c r="Y199"/>
      <c r="Z199"/>
      <c r="AA199"/>
      <c r="AB199"/>
      <c r="AC199"/>
      <c r="AD199"/>
      <c r="AE199"/>
      <c r="AF199"/>
    </row>
    <row r="200" spans="2:32" s="4" customFormat="1" ht="24" hidden="1" customHeight="1" outlineLevel="1">
      <c r="B200" s="773"/>
      <c r="C200" s="774"/>
      <c r="D200" s="774"/>
      <c r="E200" s="774"/>
      <c r="F200" s="775"/>
      <c r="G200" s="271"/>
      <c r="H200" s="333" t="s">
        <v>2124</v>
      </c>
      <c r="I200" s="827"/>
      <c r="J200" s="170" t="s">
        <v>1449</v>
      </c>
      <c r="K200" s="167">
        <v>4</v>
      </c>
      <c r="L200" s="344">
        <f t="shared" si="14"/>
        <v>0</v>
      </c>
      <c r="M200" s="345">
        <v>0</v>
      </c>
      <c r="N200"/>
      <c r="P200"/>
      <c r="Q200" s="2"/>
      <c r="R200"/>
      <c r="S200" s="2"/>
      <c r="U200" s="10"/>
      <c r="Y200"/>
      <c r="Z200"/>
      <c r="AA200"/>
      <c r="AB200"/>
      <c r="AC200"/>
      <c r="AD200"/>
      <c r="AE200"/>
      <c r="AF200"/>
    </row>
    <row r="201" spans="2:32" s="4" customFormat="1" ht="24" hidden="1" customHeight="1" outlineLevel="1">
      <c r="B201" s="773"/>
      <c r="C201" s="774"/>
      <c r="D201" s="774"/>
      <c r="E201" s="774"/>
      <c r="F201" s="775"/>
      <c r="G201" s="271"/>
      <c r="H201" s="332" t="s">
        <v>2124</v>
      </c>
      <c r="I201" s="827"/>
      <c r="J201" s="169" t="s">
        <v>1449</v>
      </c>
      <c r="K201" s="167">
        <v>4</v>
      </c>
      <c r="L201" s="334">
        <f t="shared" si="14"/>
        <v>0</v>
      </c>
      <c r="M201" s="345">
        <v>0</v>
      </c>
      <c r="N201"/>
      <c r="P201"/>
      <c r="Q201" s="2"/>
      <c r="R201"/>
      <c r="S201" s="2"/>
      <c r="U201" s="10"/>
      <c r="Y201"/>
      <c r="Z201"/>
      <c r="AA201"/>
      <c r="AB201"/>
      <c r="AC201"/>
      <c r="AD201"/>
      <c r="AE201"/>
      <c r="AF201"/>
    </row>
    <row r="202" spans="2:32" s="4" customFormat="1" ht="24" hidden="1" customHeight="1" outlineLevel="1" thickBot="1">
      <c r="B202" s="773"/>
      <c r="C202" s="774"/>
      <c r="D202" s="774"/>
      <c r="E202" s="774"/>
      <c r="F202" s="775"/>
      <c r="G202" s="460"/>
      <c r="H202" s="443" t="s">
        <v>2124</v>
      </c>
      <c r="I202" s="827"/>
      <c r="J202" s="169" t="s">
        <v>1449</v>
      </c>
      <c r="K202" s="456">
        <v>5</v>
      </c>
      <c r="L202" s="547">
        <f t="shared" si="14"/>
        <v>0</v>
      </c>
      <c r="M202" s="356">
        <v>0</v>
      </c>
      <c r="N202"/>
      <c r="P202"/>
      <c r="Q202" s="2"/>
      <c r="R202"/>
      <c r="S202" s="2"/>
      <c r="U202" s="10"/>
      <c r="Y202"/>
      <c r="Z202"/>
      <c r="AA202"/>
      <c r="AB202"/>
      <c r="AC202"/>
      <c r="AD202"/>
      <c r="AE202"/>
      <c r="AF202"/>
    </row>
    <row r="203" spans="2:32" ht="26" customHeight="1" collapsed="1">
      <c r="B203" s="739" t="str">
        <f>Languages!$C$224</f>
        <v>Low voltage elec. distribution</v>
      </c>
      <c r="C203" s="740"/>
      <c r="D203" s="553" t="s">
        <v>2178</v>
      </c>
      <c r="E203" s="817">
        <v>12</v>
      </c>
      <c r="F203" s="818"/>
      <c r="G203" s="711" t="str">
        <f>G$11</f>
        <v>Asset / Component</v>
      </c>
      <c r="H203" s="734" t="s">
        <v>2123</v>
      </c>
      <c r="I203" s="545" t="s">
        <v>2103</v>
      </c>
      <c r="J203" s="711" t="s">
        <v>2212</v>
      </c>
      <c r="K203" s="807">
        <f>SUM(K206:K208)/3</f>
        <v>3.6666666666666665</v>
      </c>
      <c r="L203" s="546" t="s">
        <v>2214</v>
      </c>
      <c r="M203" s="757"/>
      <c r="P203"/>
      <c r="Q203" s="2"/>
      <c r="R203"/>
      <c r="S203"/>
      <c r="T203"/>
    </row>
    <row r="204" spans="2:32" ht="25" customHeight="1" thickBot="1">
      <c r="B204" s="741"/>
      <c r="C204" s="742"/>
      <c r="D204" s="569" t="s">
        <v>1775</v>
      </c>
      <c r="E204" s="759">
        <f>E203*E205</f>
        <v>1320</v>
      </c>
      <c r="F204" s="760"/>
      <c r="G204" s="806"/>
      <c r="H204" s="914"/>
      <c r="I204" s="567" t="s">
        <v>2120</v>
      </c>
      <c r="J204" s="806"/>
      <c r="K204" s="808"/>
      <c r="L204" s="570">
        <f>SUM(M206:M218)</f>
        <v>38</v>
      </c>
      <c r="M204" s="758"/>
      <c r="P204"/>
      <c r="Q204" s="2"/>
      <c r="R204"/>
      <c r="S204"/>
      <c r="T204"/>
    </row>
    <row r="205" spans="2:32" s="4" customFormat="1" ht="24" hidden="1" customHeight="1" outlineLevel="1">
      <c r="B205" s="477"/>
      <c r="C205" s="478"/>
      <c r="D205" s="554" t="s">
        <v>1565</v>
      </c>
      <c r="E205" s="560">
        <v>110</v>
      </c>
      <c r="F205" s="339" t="s">
        <v>1776</v>
      </c>
      <c r="G205" s="461" t="s">
        <v>2130</v>
      </c>
      <c r="H205" s="523" t="s">
        <v>2250</v>
      </c>
      <c r="I205" s="324"/>
      <c r="J205" s="523" t="s">
        <v>28</v>
      </c>
      <c r="K205" s="524" t="str">
        <f>Languages!$G$193</f>
        <v>Priority 
1 - 5</v>
      </c>
      <c r="L205" s="761"/>
      <c r="M205" s="762"/>
      <c r="N205"/>
      <c r="P205"/>
      <c r="R205"/>
      <c r="S205" s="2"/>
      <c r="U205" s="10"/>
      <c r="Y205"/>
      <c r="Z205"/>
      <c r="AA205"/>
      <c r="AB205"/>
      <c r="AC205"/>
      <c r="AD205"/>
      <c r="AE205"/>
      <c r="AF205"/>
    </row>
    <row r="206" spans="2:32" s="4" customFormat="1" ht="24" hidden="1" customHeight="1" outlineLevel="1">
      <c r="B206" s="778" t="s">
        <v>2216</v>
      </c>
      <c r="C206" s="779"/>
      <c r="D206" s="779"/>
      <c r="E206" s="779"/>
      <c r="F206" s="780"/>
      <c r="G206" s="238" t="s">
        <v>1946</v>
      </c>
      <c r="H206" s="333" t="s">
        <v>2124</v>
      </c>
      <c r="I206" s="776" t="s">
        <v>2141</v>
      </c>
      <c r="J206" s="169" t="s">
        <v>1449</v>
      </c>
      <c r="K206" s="167">
        <v>4</v>
      </c>
      <c r="L206" s="453">
        <f>(E$203*E$205*M206)/1000000</f>
        <v>2.112E-2</v>
      </c>
      <c r="M206" s="345">
        <v>16</v>
      </c>
      <c r="N206"/>
      <c r="O206" s="2"/>
      <c r="P206"/>
      <c r="Q206" s="2"/>
      <c r="R206"/>
      <c r="S206" s="2"/>
      <c r="U206" s="10"/>
      <c r="Y206"/>
      <c r="Z206"/>
      <c r="AA206"/>
      <c r="AB206"/>
      <c r="AC206"/>
      <c r="AD206"/>
      <c r="AE206"/>
      <c r="AF206"/>
    </row>
    <row r="207" spans="2:32" s="4" customFormat="1" ht="24" hidden="1" customHeight="1" outlineLevel="1">
      <c r="B207" s="781"/>
      <c r="C207" s="782"/>
      <c r="D207" s="782"/>
      <c r="E207" s="782"/>
      <c r="F207" s="783"/>
      <c r="G207" s="357" t="s">
        <v>1947</v>
      </c>
      <c r="H207" s="333" t="s">
        <v>2124</v>
      </c>
      <c r="I207" s="776"/>
      <c r="J207" s="169" t="s">
        <v>1449</v>
      </c>
      <c r="K207" s="167">
        <v>4</v>
      </c>
      <c r="L207" s="453">
        <f>(E$203*E$205*M207)/1000000</f>
        <v>1.452E-2</v>
      </c>
      <c r="M207" s="345">
        <v>11</v>
      </c>
      <c r="N207"/>
      <c r="O207" s="2"/>
      <c r="P207"/>
      <c r="Q207" s="2"/>
      <c r="R207"/>
      <c r="S207" s="2"/>
      <c r="U207" s="10"/>
      <c r="Y207"/>
      <c r="Z207"/>
      <c r="AA207"/>
      <c r="AB207"/>
      <c r="AC207"/>
      <c r="AD207"/>
      <c r="AE207"/>
      <c r="AF207"/>
    </row>
    <row r="208" spans="2:32" s="4" customFormat="1" ht="24" hidden="1" customHeight="1" outlineLevel="1">
      <c r="B208" s="781"/>
      <c r="C208" s="782"/>
      <c r="D208" s="782"/>
      <c r="E208" s="782"/>
      <c r="F208" s="783"/>
      <c r="G208" s="238"/>
      <c r="H208" s="333" t="s">
        <v>2124</v>
      </c>
      <c r="I208" s="776"/>
      <c r="J208" s="169" t="s">
        <v>1449</v>
      </c>
      <c r="K208" s="167">
        <v>3</v>
      </c>
      <c r="L208" s="453">
        <f t="shared" ref="L208:L211" si="15">(E$203*E$205*M208)/1000000</f>
        <v>0</v>
      </c>
      <c r="M208" s="345">
        <v>0</v>
      </c>
      <c r="N208"/>
      <c r="O208" s="2"/>
      <c r="P208"/>
      <c r="Q208" s="2"/>
      <c r="R208"/>
      <c r="S208" s="2"/>
      <c r="U208" s="10"/>
      <c r="Y208"/>
      <c r="Z208"/>
      <c r="AA208"/>
      <c r="AB208"/>
      <c r="AC208"/>
      <c r="AD208"/>
      <c r="AE208"/>
      <c r="AF208"/>
    </row>
    <row r="209" spans="2:32" s="4" customFormat="1" ht="24" hidden="1" customHeight="1" outlineLevel="1">
      <c r="B209" s="773"/>
      <c r="C209" s="774"/>
      <c r="D209" s="774"/>
      <c r="E209" s="774"/>
      <c r="F209" s="775"/>
      <c r="G209" s="271"/>
      <c r="H209" s="332" t="s">
        <v>2124</v>
      </c>
      <c r="I209" s="776"/>
      <c r="J209" s="170" t="s">
        <v>1473</v>
      </c>
      <c r="K209" s="322">
        <v>3</v>
      </c>
      <c r="L209" s="453">
        <f t="shared" si="15"/>
        <v>0</v>
      </c>
      <c r="M209" s="345">
        <v>0</v>
      </c>
      <c r="N209"/>
      <c r="O209" s="2"/>
      <c r="P209"/>
      <c r="Q209" s="2"/>
      <c r="R209"/>
      <c r="S209" s="2"/>
      <c r="U209" s="10"/>
      <c r="Y209"/>
      <c r="Z209"/>
      <c r="AA209"/>
      <c r="AB209"/>
      <c r="AC209"/>
      <c r="AD209"/>
      <c r="AE209"/>
      <c r="AF209"/>
    </row>
    <row r="210" spans="2:32" s="4" customFormat="1" ht="24" hidden="1" customHeight="1" outlineLevel="1">
      <c r="B210" s="773"/>
      <c r="C210" s="774"/>
      <c r="D210" s="774"/>
      <c r="E210" s="774"/>
      <c r="F210" s="775"/>
      <c r="G210" s="271"/>
      <c r="H210" s="332" t="s">
        <v>2124</v>
      </c>
      <c r="I210" s="776"/>
      <c r="J210" s="170" t="s">
        <v>1473</v>
      </c>
      <c r="K210" s="167">
        <v>3</v>
      </c>
      <c r="L210" s="453">
        <f t="shared" si="15"/>
        <v>0</v>
      </c>
      <c r="M210" s="345">
        <v>0</v>
      </c>
      <c r="N210"/>
      <c r="O210" s="2"/>
      <c r="P210"/>
      <c r="Q210" s="2"/>
      <c r="R210"/>
      <c r="S210" s="2"/>
      <c r="U210" s="10"/>
      <c r="Y210"/>
      <c r="Z210"/>
      <c r="AA210"/>
      <c r="AB210"/>
      <c r="AC210"/>
      <c r="AD210"/>
      <c r="AE210"/>
      <c r="AF210"/>
    </row>
    <row r="211" spans="2:32" s="4" customFormat="1" ht="24" hidden="1" customHeight="1" outlineLevel="1" thickBot="1">
      <c r="B211" s="773"/>
      <c r="C211" s="774"/>
      <c r="D211" s="774"/>
      <c r="E211" s="774"/>
      <c r="F211" s="775"/>
      <c r="G211" s="460"/>
      <c r="H211" s="332" t="s">
        <v>2124</v>
      </c>
      <c r="I211" s="777"/>
      <c r="J211" s="170" t="s">
        <v>1473</v>
      </c>
      <c r="K211" s="167">
        <v>3</v>
      </c>
      <c r="L211" s="453">
        <f t="shared" si="15"/>
        <v>0</v>
      </c>
      <c r="M211" s="345">
        <v>0</v>
      </c>
      <c r="N211"/>
      <c r="O211" s="2"/>
      <c r="P211"/>
      <c r="Q211" s="2"/>
      <c r="R211"/>
      <c r="S211" s="2"/>
      <c r="U211" s="10"/>
      <c r="Y211"/>
      <c r="Z211"/>
      <c r="AA211"/>
      <c r="AB211"/>
      <c r="AC211"/>
      <c r="AD211"/>
      <c r="AE211"/>
      <c r="AF211"/>
    </row>
    <row r="212" spans="2:32" ht="15" customHeight="1" collapsed="1" thickBot="1">
      <c r="B212" s="163" t="s">
        <v>46</v>
      </c>
      <c r="C212" s="163"/>
      <c r="D212" s="163"/>
      <c r="E212" s="163"/>
      <c r="F212" s="163"/>
      <c r="G212" s="165"/>
      <c r="H212" s="12"/>
      <c r="I212" s="12"/>
      <c r="J212" s="12"/>
      <c r="K212" s="12"/>
      <c r="L212" s="370"/>
      <c r="M212" s="370"/>
      <c r="O212"/>
      <c r="P212"/>
      <c r="Q212" s="2"/>
      <c r="R212"/>
      <c r="S212" s="2"/>
      <c r="U212" s="10"/>
      <c r="V212" s="4"/>
      <c r="W212" s="4"/>
      <c r="X212" s="4"/>
    </row>
    <row r="213" spans="2:32" ht="28" customHeight="1" thickBot="1">
      <c r="B213" s="765" t="str">
        <f>B$2</f>
        <v>Damage Assessments for Sustainable Reconstruction in Ukraine</v>
      </c>
      <c r="C213" s="766"/>
      <c r="D213" s="766"/>
      <c r="E213" s="766"/>
      <c r="F213" s="766"/>
      <c r="G213" s="766"/>
      <c r="H213" s="766"/>
      <c r="I213" s="784" t="str">
        <f>I$2</f>
        <v>Irpin Urban Area</v>
      </c>
      <c r="J213" s="785"/>
      <c r="K213" s="786"/>
      <c r="L213" s="371" t="str">
        <f>L$74</f>
        <v>27Jan23</v>
      </c>
      <c r="M213" s="164">
        <v>11</v>
      </c>
      <c r="P213"/>
      <c r="Q213" s="2"/>
      <c r="R213"/>
      <c r="S213" s="2"/>
      <c r="T213"/>
      <c r="V213" s="4"/>
      <c r="W213" s="4"/>
      <c r="X213" s="4"/>
    </row>
    <row r="214" spans="2:32" ht="27" customHeight="1">
      <c r="B214" s="938" t="str">
        <f>Languages!$C$185&amp;" 7"</f>
        <v>Public utilities and services 7</v>
      </c>
      <c r="C214" s="939"/>
      <c r="D214" s="787"/>
      <c r="E214" s="788" t="str">
        <f>Languages!$I$188</f>
        <v>Area and/or quantity assessed</v>
      </c>
      <c r="F214" s="789"/>
      <c r="G214" s="792" t="str">
        <f>Languages!$M$194</f>
        <v>Enter info on type and area / quantity of assets, type and extent of damage.</v>
      </c>
      <c r="H214" s="809"/>
      <c r="I214" s="796" t="s">
        <v>2118</v>
      </c>
      <c r="J214" s="798" t="str">
        <f>Languages!$K$177</f>
        <v>Approx. repair costs, priority 4 &amp; 5 assets, m. Euro</v>
      </c>
      <c r="K214" s="799"/>
      <c r="L214" s="372">
        <f>IF(K218&gt;3,L219)+IF(K227&gt;3,L228)</f>
        <v>8</v>
      </c>
      <c r="M214" s="368" t="s">
        <v>1966</v>
      </c>
      <c r="P214"/>
      <c r="Q214" s="2"/>
      <c r="R214"/>
      <c r="S214" s="2"/>
      <c r="T214"/>
      <c r="V214" s="4"/>
      <c r="W214" s="4"/>
      <c r="X214" s="4"/>
    </row>
    <row r="215" spans="2:32" ht="27" customHeight="1">
      <c r="B215" s="940"/>
      <c r="C215" s="941"/>
      <c r="D215" s="768"/>
      <c r="E215" s="790"/>
      <c r="F215" s="791"/>
      <c r="G215" s="794"/>
      <c r="H215" s="810"/>
      <c r="I215" s="797"/>
      <c r="J215" s="800" t="str">
        <f>Languages!$K$176</f>
        <v>Approx. total repair costs, m. Euro</v>
      </c>
      <c r="K215" s="801"/>
      <c r="L215" s="373">
        <f>L219+L228</f>
        <v>46</v>
      </c>
      <c r="M215" s="369" t="s">
        <v>1966</v>
      </c>
      <c r="P215"/>
      <c r="Q215" s="2"/>
      <c r="R215"/>
      <c r="S215" s="2"/>
      <c r="U215" s="10"/>
      <c r="V215" s="4"/>
      <c r="W215" s="4"/>
      <c r="X215" s="4"/>
    </row>
    <row r="216" spans="2:32" ht="20" customHeight="1">
      <c r="B216" s="940"/>
      <c r="C216" s="941"/>
      <c r="D216" s="768"/>
      <c r="E216" s="802" t="s">
        <v>1546</v>
      </c>
      <c r="F216" s="804" t="str">
        <f>Languages!$N$178</f>
        <v>Unit type</v>
      </c>
      <c r="G216" s="769" t="str">
        <f>G$77</f>
        <v>Asset or Component</v>
      </c>
      <c r="H216" s="767" t="s">
        <v>2251</v>
      </c>
      <c r="I216" s="331" t="s">
        <v>2117</v>
      </c>
      <c r="J216" s="771" t="str">
        <f>Languages!$K$178</f>
        <v>Actions</v>
      </c>
      <c r="K216" s="772"/>
      <c r="L216" s="763" t="s">
        <v>1550</v>
      </c>
      <c r="M216" s="764"/>
      <c r="P216"/>
      <c r="Q216" s="2"/>
      <c r="R216"/>
      <c r="S216" s="2"/>
      <c r="U216" s="10"/>
      <c r="V216" s="4"/>
      <c r="W216" s="4"/>
      <c r="X216" s="4"/>
    </row>
    <row r="217" spans="2:32" s="4" customFormat="1" ht="24" customHeight="1" thickBot="1">
      <c r="B217" s="940"/>
      <c r="C217" s="941"/>
      <c r="D217" s="768"/>
      <c r="E217" s="803"/>
      <c r="F217" s="805"/>
      <c r="G217" s="770"/>
      <c r="H217" s="768"/>
      <c r="I217" s="330" t="str">
        <f>Languages!$E$190</f>
        <v>Social Impact level</v>
      </c>
      <c r="J217" s="492" t="str">
        <f>Languages!$K$185</f>
        <v>Action required</v>
      </c>
      <c r="K217" s="504" t="str">
        <f>Languages!$G$193</f>
        <v>Priority 
1 - 5</v>
      </c>
      <c r="L217" s="541" t="s">
        <v>1551</v>
      </c>
      <c r="M217" s="543" t="s">
        <v>1774</v>
      </c>
      <c r="N217"/>
      <c r="P217"/>
      <c r="R217"/>
      <c r="S217" s="2"/>
      <c r="U217" s="10"/>
      <c r="Y217"/>
      <c r="Z217"/>
      <c r="AA217"/>
      <c r="AB217"/>
      <c r="AC217"/>
      <c r="AD217"/>
      <c r="AE217"/>
      <c r="AF217"/>
    </row>
    <row r="218" spans="2:32" ht="24" customHeight="1">
      <c r="B218" s="739" t="str">
        <f>Languages!$C$225</f>
        <v>Electric sub-station</v>
      </c>
      <c r="C218" s="740"/>
      <c r="D218" s="553" t="s">
        <v>2178</v>
      </c>
      <c r="E218" s="817">
        <v>500</v>
      </c>
      <c r="F218" s="818"/>
      <c r="G218" s="711" t="str">
        <f>G$11</f>
        <v>Asset / Component</v>
      </c>
      <c r="H218" s="734" t="s">
        <v>2123</v>
      </c>
      <c r="I218" s="545" t="s">
        <v>2103</v>
      </c>
      <c r="J218" s="711" t="s">
        <v>2212</v>
      </c>
      <c r="K218" s="807">
        <f>SUM(K221:K223)/3</f>
        <v>3</v>
      </c>
      <c r="L218" s="546" t="s">
        <v>2214</v>
      </c>
      <c r="M218" s="757"/>
      <c r="P218"/>
      <c r="Q218" s="2"/>
      <c r="R218"/>
      <c r="S218"/>
      <c r="T218"/>
    </row>
    <row r="219" spans="2:32" ht="24" customHeight="1" thickBot="1">
      <c r="B219" s="741"/>
      <c r="C219" s="742"/>
      <c r="D219" s="569" t="s">
        <v>1779</v>
      </c>
      <c r="E219" s="759">
        <f>E218*E220</f>
        <v>6000</v>
      </c>
      <c r="F219" s="760"/>
      <c r="G219" s="806"/>
      <c r="H219" s="914"/>
      <c r="I219" s="567" t="s">
        <v>2120</v>
      </c>
      <c r="J219" s="806"/>
      <c r="K219" s="808"/>
      <c r="L219" s="570">
        <f>SUM(M221:M227)</f>
        <v>38</v>
      </c>
      <c r="M219" s="758"/>
      <c r="P219"/>
      <c r="Q219" s="2"/>
      <c r="R219"/>
      <c r="S219"/>
      <c r="T219"/>
    </row>
    <row r="220" spans="2:32" s="4" customFormat="1" ht="24" hidden="1" customHeight="1" outlineLevel="1">
      <c r="B220" s="475"/>
      <c r="C220" s="476"/>
      <c r="D220" s="554" t="s">
        <v>1778</v>
      </c>
      <c r="E220" s="557">
        <v>12</v>
      </c>
      <c r="F220" s="339" t="s">
        <v>1777</v>
      </c>
      <c r="G220" s="461" t="s">
        <v>2130</v>
      </c>
      <c r="H220" s="523" t="s">
        <v>2250</v>
      </c>
      <c r="I220" s="324"/>
      <c r="J220" s="523" t="s">
        <v>28</v>
      </c>
      <c r="K220" s="524" t="str">
        <f>Languages!$G$193</f>
        <v>Priority 
1 - 5</v>
      </c>
      <c r="L220" s="761"/>
      <c r="M220" s="762"/>
      <c r="N220"/>
      <c r="P220"/>
      <c r="R220"/>
      <c r="S220" s="2"/>
      <c r="U220" s="10"/>
      <c r="Y220"/>
      <c r="Z220"/>
      <c r="AA220"/>
      <c r="AB220"/>
      <c r="AC220"/>
      <c r="AD220"/>
      <c r="AE220"/>
      <c r="AF220"/>
    </row>
    <row r="221" spans="2:32" s="4" customFormat="1" ht="24" hidden="1" customHeight="1" outlineLevel="1">
      <c r="B221" s="778" t="s">
        <v>2217</v>
      </c>
      <c r="C221" s="779"/>
      <c r="D221" s="779"/>
      <c r="E221" s="779"/>
      <c r="F221" s="780"/>
      <c r="G221" s="238" t="s">
        <v>1983</v>
      </c>
      <c r="H221" s="333" t="s">
        <v>2124</v>
      </c>
      <c r="I221" s="776" t="s">
        <v>2141</v>
      </c>
      <c r="J221" s="169" t="s">
        <v>1449</v>
      </c>
      <c r="K221" s="167">
        <v>4</v>
      </c>
      <c r="L221" s="453">
        <f>(E$218*E$220*M221)/1000000</f>
        <v>9.6000000000000002E-2</v>
      </c>
      <c r="M221" s="345">
        <v>16</v>
      </c>
      <c r="N221"/>
      <c r="O221" s="2"/>
      <c r="P221"/>
      <c r="Q221" s="2"/>
      <c r="R221"/>
      <c r="S221" s="2"/>
      <c r="U221" s="10"/>
      <c r="Y221"/>
      <c r="Z221"/>
      <c r="AA221"/>
      <c r="AB221"/>
      <c r="AC221"/>
      <c r="AD221"/>
      <c r="AE221"/>
      <c r="AF221"/>
    </row>
    <row r="222" spans="2:32" s="4" customFormat="1" ht="24" hidden="1" customHeight="1" outlineLevel="1">
      <c r="B222" s="781"/>
      <c r="C222" s="782"/>
      <c r="D222" s="782"/>
      <c r="E222" s="782"/>
      <c r="F222" s="783"/>
      <c r="G222" s="238" t="s">
        <v>431</v>
      </c>
      <c r="H222" s="333" t="s">
        <v>2124</v>
      </c>
      <c r="I222" s="776"/>
      <c r="J222" s="169" t="s">
        <v>1454</v>
      </c>
      <c r="K222" s="167">
        <v>2</v>
      </c>
      <c r="L222" s="453">
        <f t="shared" ref="L222:L223" si="16">(E$218*E$220*M222)/1000000</f>
        <v>3.5999999999999997E-2</v>
      </c>
      <c r="M222" s="345">
        <v>6</v>
      </c>
      <c r="N222"/>
      <c r="O222" s="2"/>
      <c r="P222"/>
      <c r="Q222" s="2"/>
      <c r="R222"/>
      <c r="S222" s="2"/>
      <c r="U222" s="10"/>
      <c r="Y222"/>
      <c r="Z222"/>
      <c r="AA222"/>
      <c r="AB222"/>
      <c r="AC222"/>
      <c r="AD222"/>
      <c r="AE222"/>
      <c r="AF222"/>
    </row>
    <row r="223" spans="2:32" s="4" customFormat="1" ht="24" hidden="1" customHeight="1" outlineLevel="1">
      <c r="B223" s="781"/>
      <c r="C223" s="782"/>
      <c r="D223" s="782"/>
      <c r="E223" s="782"/>
      <c r="F223" s="783"/>
      <c r="G223" s="238" t="s">
        <v>2036</v>
      </c>
      <c r="H223" s="333" t="s">
        <v>2124</v>
      </c>
      <c r="I223" s="776"/>
      <c r="J223" s="169" t="s">
        <v>1449</v>
      </c>
      <c r="K223" s="167">
        <v>3</v>
      </c>
      <c r="L223" s="453">
        <f t="shared" si="16"/>
        <v>9.6000000000000002E-2</v>
      </c>
      <c r="M223" s="345">
        <v>16</v>
      </c>
      <c r="N223"/>
      <c r="O223" s="2"/>
      <c r="P223"/>
      <c r="Q223" s="2"/>
      <c r="R223"/>
      <c r="S223" s="2"/>
      <c r="U223" s="10"/>
      <c r="Y223"/>
      <c r="Z223"/>
      <c r="AA223"/>
      <c r="AB223"/>
      <c r="AC223"/>
      <c r="AD223"/>
      <c r="AE223"/>
      <c r="AF223"/>
    </row>
    <row r="224" spans="2:32" s="4" customFormat="1" ht="24" hidden="1" customHeight="1" outlineLevel="1">
      <c r="B224" s="773"/>
      <c r="C224" s="774"/>
      <c r="D224" s="774"/>
      <c r="E224" s="774"/>
      <c r="F224" s="775"/>
      <c r="G224" s="271"/>
      <c r="H224" s="332" t="s">
        <v>2124</v>
      </c>
      <c r="I224" s="776"/>
      <c r="J224" s="170" t="s">
        <v>1473</v>
      </c>
      <c r="K224" s="322">
        <v>3</v>
      </c>
      <c r="L224" s="334">
        <f t="shared" ref="L224" si="17">M224</f>
        <v>0</v>
      </c>
      <c r="M224" s="345">
        <v>0</v>
      </c>
      <c r="N224"/>
      <c r="O224" s="2"/>
      <c r="P224"/>
      <c r="Q224" s="2"/>
      <c r="R224"/>
      <c r="S224" s="2"/>
      <c r="U224" s="10"/>
      <c r="Y224"/>
      <c r="Z224"/>
      <c r="AA224"/>
      <c r="AB224"/>
      <c r="AC224"/>
      <c r="AD224"/>
      <c r="AE224"/>
      <c r="AF224"/>
    </row>
    <row r="225" spans="2:32" s="4" customFormat="1" ht="24" hidden="1" customHeight="1" outlineLevel="1">
      <c r="B225" s="773"/>
      <c r="C225" s="774"/>
      <c r="D225" s="774"/>
      <c r="E225" s="774"/>
      <c r="F225" s="775"/>
      <c r="G225" s="271"/>
      <c r="H225" s="332" t="s">
        <v>2124</v>
      </c>
      <c r="I225" s="776"/>
      <c r="J225" s="170" t="s">
        <v>1473</v>
      </c>
      <c r="K225" s="167">
        <v>3</v>
      </c>
      <c r="L225" s="334">
        <f t="shared" ref="L225:L226" si="18">M225</f>
        <v>0</v>
      </c>
      <c r="M225" s="345">
        <v>0</v>
      </c>
      <c r="N225"/>
      <c r="O225" s="2"/>
      <c r="P225"/>
      <c r="Q225" s="2"/>
      <c r="R225"/>
      <c r="S225" s="2"/>
      <c r="U225" s="10"/>
      <c r="Y225"/>
      <c r="Z225"/>
      <c r="AA225"/>
      <c r="AB225"/>
      <c r="AC225"/>
      <c r="AD225"/>
      <c r="AE225"/>
      <c r="AF225"/>
    </row>
    <row r="226" spans="2:32" s="4" customFormat="1" ht="24" hidden="1" customHeight="1" outlineLevel="1" thickBot="1">
      <c r="B226" s="773"/>
      <c r="C226" s="774"/>
      <c r="D226" s="774"/>
      <c r="E226" s="774"/>
      <c r="F226" s="775"/>
      <c r="G226" s="460"/>
      <c r="H226" s="443" t="s">
        <v>2124</v>
      </c>
      <c r="I226" s="776"/>
      <c r="J226" s="169" t="s">
        <v>1473</v>
      </c>
      <c r="K226" s="456">
        <v>3</v>
      </c>
      <c r="L226" s="547">
        <f t="shared" si="18"/>
        <v>0</v>
      </c>
      <c r="M226" s="356">
        <v>0</v>
      </c>
      <c r="N226"/>
      <c r="O226" s="2"/>
      <c r="P226"/>
      <c r="Q226" s="2"/>
      <c r="R226"/>
      <c r="S226" s="2"/>
      <c r="U226" s="10"/>
      <c r="Y226"/>
      <c r="Z226"/>
      <c r="AA226"/>
      <c r="AB226"/>
      <c r="AC226"/>
      <c r="AD226"/>
      <c r="AE226"/>
      <c r="AF226"/>
    </row>
    <row r="227" spans="2:32" s="4" customFormat="1" ht="24" customHeight="1" collapsed="1">
      <c r="B227" s="739" t="str">
        <f>Languages!$C$226</f>
        <v>DC charging station</v>
      </c>
      <c r="C227" s="740"/>
      <c r="D227" s="553" t="s">
        <v>2178</v>
      </c>
      <c r="E227" s="817">
        <v>1000</v>
      </c>
      <c r="F227" s="818"/>
      <c r="G227" s="711" t="str">
        <f>G$11</f>
        <v>Asset / Component</v>
      </c>
      <c r="H227" s="734" t="s">
        <v>2123</v>
      </c>
      <c r="I227" s="545" t="s">
        <v>2103</v>
      </c>
      <c r="J227" s="711" t="s">
        <v>2212</v>
      </c>
      <c r="K227" s="807">
        <f>SUM(K230:K232)/3</f>
        <v>3.6666666666666665</v>
      </c>
      <c r="L227" s="546" t="s">
        <v>2214</v>
      </c>
      <c r="M227" s="757"/>
      <c r="N227"/>
      <c r="P227"/>
      <c r="R227"/>
      <c r="S227" s="2"/>
      <c r="U227" s="10"/>
      <c r="Y227"/>
      <c r="Z227"/>
      <c r="AA227"/>
      <c r="AB227"/>
      <c r="AC227"/>
      <c r="AD227"/>
      <c r="AE227"/>
      <c r="AF227"/>
    </row>
    <row r="228" spans="2:32" s="4" customFormat="1" ht="24" customHeight="1" thickBot="1">
      <c r="B228" s="741"/>
      <c r="C228" s="742"/>
      <c r="D228" s="569" t="s">
        <v>1779</v>
      </c>
      <c r="E228" s="759">
        <f>E227*E229</f>
        <v>3000</v>
      </c>
      <c r="F228" s="760"/>
      <c r="G228" s="806"/>
      <c r="H228" s="914"/>
      <c r="I228" s="567" t="s">
        <v>2120</v>
      </c>
      <c r="J228" s="806"/>
      <c r="K228" s="808"/>
      <c r="L228" s="570">
        <f>SUM(M230:M232)</f>
        <v>8</v>
      </c>
      <c r="M228" s="758"/>
      <c r="N228"/>
      <c r="P228"/>
      <c r="R228"/>
      <c r="S228" s="2"/>
      <c r="U228" s="10"/>
      <c r="Y228"/>
      <c r="Z228"/>
      <c r="AA228"/>
      <c r="AB228"/>
      <c r="AC228"/>
      <c r="AD228"/>
      <c r="AE228"/>
      <c r="AF228"/>
    </row>
    <row r="229" spans="2:32" s="4" customFormat="1" ht="24" hidden="1" customHeight="1" outlineLevel="1">
      <c r="B229" s="475"/>
      <c r="C229" s="476"/>
      <c r="D229" s="554" t="s">
        <v>1778</v>
      </c>
      <c r="E229" s="557">
        <v>3</v>
      </c>
      <c r="F229" s="339" t="s">
        <v>1777</v>
      </c>
      <c r="G229" s="461" t="s">
        <v>2130</v>
      </c>
      <c r="H229" s="523" t="s">
        <v>2250</v>
      </c>
      <c r="I229" s="324"/>
      <c r="J229" s="523" t="s">
        <v>28</v>
      </c>
      <c r="K229" s="524" t="str">
        <f>Languages!$G$193</f>
        <v>Priority 
1 - 5</v>
      </c>
      <c r="L229" s="761"/>
      <c r="M229" s="762"/>
      <c r="N229"/>
      <c r="P229"/>
      <c r="R229"/>
      <c r="S229" s="2"/>
      <c r="U229" s="10"/>
      <c r="Y229"/>
      <c r="Z229"/>
      <c r="AA229"/>
      <c r="AB229"/>
      <c r="AC229"/>
      <c r="AD229"/>
      <c r="AE229"/>
      <c r="AF229"/>
    </row>
    <row r="230" spans="2:32" s="4" customFormat="1" ht="24" hidden="1" customHeight="1" outlineLevel="1">
      <c r="B230" s="778" t="s">
        <v>2218</v>
      </c>
      <c r="C230" s="779"/>
      <c r="D230" s="779"/>
      <c r="E230" s="779"/>
      <c r="F230" s="780"/>
      <c r="G230" s="238" t="s">
        <v>1946</v>
      </c>
      <c r="H230" s="333" t="s">
        <v>2124</v>
      </c>
      <c r="I230" s="776" t="s">
        <v>2141</v>
      </c>
      <c r="J230" s="169" t="s">
        <v>1449</v>
      </c>
      <c r="K230" s="167">
        <v>4</v>
      </c>
      <c r="L230" s="454">
        <f t="shared" ref="L230:L232" si="19">(E$218*E$220*M230)/1000000</f>
        <v>3.5999999999999997E-2</v>
      </c>
      <c r="M230" s="345">
        <v>6</v>
      </c>
      <c r="N230"/>
      <c r="P230"/>
      <c r="R230"/>
      <c r="S230" s="2"/>
      <c r="U230" s="10"/>
      <c r="Y230"/>
      <c r="Z230"/>
      <c r="AA230"/>
      <c r="AB230"/>
      <c r="AC230"/>
      <c r="AD230"/>
      <c r="AE230"/>
      <c r="AF230"/>
    </row>
    <row r="231" spans="2:32" s="4" customFormat="1" ht="24" hidden="1" customHeight="1" outlineLevel="1">
      <c r="B231" s="781"/>
      <c r="C231" s="782"/>
      <c r="D231" s="782"/>
      <c r="E231" s="782"/>
      <c r="F231" s="783"/>
      <c r="G231" s="238" t="s">
        <v>1947</v>
      </c>
      <c r="H231" s="333" t="s">
        <v>2124</v>
      </c>
      <c r="I231" s="776"/>
      <c r="J231" s="169" t="s">
        <v>1449</v>
      </c>
      <c r="K231" s="167">
        <v>4</v>
      </c>
      <c r="L231" s="454">
        <f t="shared" si="19"/>
        <v>1.2E-2</v>
      </c>
      <c r="M231" s="345">
        <v>2</v>
      </c>
      <c r="N231"/>
      <c r="P231"/>
      <c r="R231"/>
      <c r="S231" s="2"/>
      <c r="U231" s="10"/>
      <c r="Y231"/>
      <c r="Z231"/>
      <c r="AA231"/>
      <c r="AB231"/>
      <c r="AC231"/>
      <c r="AD231"/>
      <c r="AE231"/>
      <c r="AF231"/>
    </row>
    <row r="232" spans="2:32" s="4" customFormat="1" ht="24" hidden="1" customHeight="1" outlineLevel="1">
      <c r="B232" s="781"/>
      <c r="C232" s="782"/>
      <c r="D232" s="782"/>
      <c r="E232" s="782"/>
      <c r="F232" s="783"/>
      <c r="G232" s="238"/>
      <c r="H232" s="333" t="s">
        <v>2124</v>
      </c>
      <c r="I232" s="776"/>
      <c r="J232" s="169" t="s">
        <v>1449</v>
      </c>
      <c r="K232" s="167">
        <v>3</v>
      </c>
      <c r="L232" s="334">
        <f t="shared" si="19"/>
        <v>0</v>
      </c>
      <c r="M232" s="345">
        <v>0</v>
      </c>
      <c r="N232"/>
      <c r="P232"/>
      <c r="R232"/>
      <c r="S232" s="2"/>
      <c r="U232" s="10"/>
      <c r="Y232"/>
      <c r="Z232"/>
      <c r="AA232"/>
      <c r="AB232"/>
      <c r="AC232"/>
      <c r="AD232"/>
      <c r="AE232"/>
      <c r="AF232"/>
    </row>
    <row r="233" spans="2:32" s="4" customFormat="1" ht="24" hidden="1" customHeight="1" outlineLevel="1">
      <c r="B233" s="773"/>
      <c r="C233" s="774"/>
      <c r="D233" s="774"/>
      <c r="E233" s="774"/>
      <c r="F233" s="775"/>
      <c r="G233" s="271"/>
      <c r="H233" s="332" t="s">
        <v>2124</v>
      </c>
      <c r="I233" s="776"/>
      <c r="J233" s="170" t="s">
        <v>1473</v>
      </c>
      <c r="K233" s="322">
        <v>3</v>
      </c>
      <c r="L233" s="334">
        <f t="shared" ref="L233" si="20">M233</f>
        <v>0</v>
      </c>
      <c r="M233" s="345">
        <v>0</v>
      </c>
      <c r="N233"/>
      <c r="O233" s="2"/>
      <c r="P233"/>
      <c r="Q233" s="2"/>
      <c r="R233"/>
      <c r="S233" s="2"/>
      <c r="U233" s="10"/>
      <c r="Y233"/>
      <c r="Z233"/>
      <c r="AA233"/>
      <c r="AB233"/>
      <c r="AC233"/>
      <c r="AD233"/>
      <c r="AE233"/>
      <c r="AF233"/>
    </row>
    <row r="234" spans="2:32" s="4" customFormat="1" ht="24" hidden="1" customHeight="1" outlineLevel="1">
      <c r="B234" s="773"/>
      <c r="C234" s="774"/>
      <c r="D234" s="774"/>
      <c r="E234" s="774"/>
      <c r="F234" s="775"/>
      <c r="G234" s="271"/>
      <c r="H234" s="332" t="s">
        <v>2124</v>
      </c>
      <c r="I234" s="776"/>
      <c r="J234" s="170" t="s">
        <v>1473</v>
      </c>
      <c r="K234" s="167">
        <v>3</v>
      </c>
      <c r="L234" s="334">
        <f t="shared" ref="L234:L235" si="21">M234</f>
        <v>0</v>
      </c>
      <c r="M234" s="345">
        <v>0</v>
      </c>
      <c r="N234"/>
      <c r="O234" s="2"/>
      <c r="P234"/>
      <c r="Q234" s="2"/>
      <c r="R234"/>
      <c r="S234" s="2"/>
      <c r="U234" s="10"/>
      <c r="Y234"/>
      <c r="Z234"/>
      <c r="AA234"/>
      <c r="AB234"/>
      <c r="AC234"/>
      <c r="AD234"/>
      <c r="AE234"/>
      <c r="AF234"/>
    </row>
    <row r="235" spans="2:32" s="4" customFormat="1" ht="24" hidden="1" customHeight="1" outlineLevel="1" thickBot="1">
      <c r="B235" s="773"/>
      <c r="C235" s="774"/>
      <c r="D235" s="774"/>
      <c r="E235" s="774"/>
      <c r="F235" s="775"/>
      <c r="G235" s="271"/>
      <c r="H235" s="332" t="s">
        <v>2124</v>
      </c>
      <c r="I235" s="777"/>
      <c r="J235" s="170" t="s">
        <v>1473</v>
      </c>
      <c r="K235" s="167">
        <v>3</v>
      </c>
      <c r="L235" s="334">
        <f t="shared" si="21"/>
        <v>0</v>
      </c>
      <c r="M235" s="345">
        <v>0</v>
      </c>
      <c r="N235"/>
      <c r="O235" s="2"/>
      <c r="P235"/>
      <c r="Q235" s="2"/>
      <c r="R235"/>
      <c r="S235" s="2"/>
      <c r="U235" s="10"/>
      <c r="Y235"/>
      <c r="Z235"/>
      <c r="AA235"/>
      <c r="AB235"/>
      <c r="AC235"/>
      <c r="AD235"/>
      <c r="AE235"/>
      <c r="AF235"/>
    </row>
    <row r="236" spans="2:32" ht="15" customHeight="1" collapsed="1" thickBot="1">
      <c r="B236" s="163" t="s">
        <v>46</v>
      </c>
      <c r="C236" s="163"/>
      <c r="D236" s="163"/>
      <c r="E236" s="163"/>
      <c r="F236" s="163"/>
      <c r="G236" s="165"/>
      <c r="H236" s="12"/>
      <c r="I236" s="12"/>
      <c r="J236" s="12"/>
      <c r="K236" s="12"/>
      <c r="L236" s="370"/>
      <c r="M236" s="370"/>
      <c r="O236"/>
      <c r="P236"/>
      <c r="Q236" s="2"/>
      <c r="R236"/>
      <c r="S236" s="2"/>
      <c r="U236" s="10"/>
      <c r="V236" s="4"/>
      <c r="W236" s="4"/>
      <c r="X236" s="4"/>
    </row>
    <row r="237" spans="2:32" ht="28" customHeight="1" thickBot="1">
      <c r="B237" s="765" t="str">
        <f>B$2</f>
        <v>Damage Assessments for Sustainable Reconstruction in Ukraine</v>
      </c>
      <c r="C237" s="766"/>
      <c r="D237" s="766"/>
      <c r="E237" s="766"/>
      <c r="F237" s="766"/>
      <c r="G237" s="766"/>
      <c r="H237" s="766"/>
      <c r="I237" s="784" t="str">
        <f>I$2</f>
        <v>Irpin Urban Area</v>
      </c>
      <c r="J237" s="785"/>
      <c r="K237" s="786"/>
      <c r="L237" s="371" t="str">
        <f>L$74</f>
        <v>27Jan23</v>
      </c>
      <c r="M237" s="164">
        <v>12</v>
      </c>
      <c r="P237"/>
      <c r="Q237" s="2"/>
      <c r="R237"/>
      <c r="S237" s="2"/>
      <c r="T237"/>
      <c r="V237" s="4"/>
      <c r="W237" s="4"/>
      <c r="X237" s="4"/>
    </row>
    <row r="238" spans="2:32" ht="27" customHeight="1">
      <c r="B238" s="938" t="str">
        <f>Languages!$C$185&amp;" 8"</f>
        <v>Public utilities and services 8</v>
      </c>
      <c r="C238" s="939"/>
      <c r="D238" s="787" t="str">
        <f>Languages!$N$176</f>
        <v>Information on main asset &amp; sub-assets</v>
      </c>
      <c r="E238" s="788" t="str">
        <f>Languages!$I$188</f>
        <v>Area and/or quantity assessed</v>
      </c>
      <c r="F238" s="789"/>
      <c r="G238" s="792" t="str">
        <f>Languages!$M$194</f>
        <v>Enter info on type and area / quantity of assets, type and extent of damage.</v>
      </c>
      <c r="H238" s="809"/>
      <c r="I238" s="796" t="s">
        <v>2118</v>
      </c>
      <c r="J238" s="798" t="str">
        <f>Languages!$K$177</f>
        <v>Approx. repair costs, priority 4 &amp; 5 assets, m. Euro</v>
      </c>
      <c r="K238" s="799"/>
      <c r="L238" s="372">
        <f>IF(K242&gt;3,L243)+IF(K251&gt;3,L252)</f>
        <v>89</v>
      </c>
      <c r="M238" s="368" t="s">
        <v>1966</v>
      </c>
      <c r="P238"/>
      <c r="Q238" s="2"/>
      <c r="R238"/>
      <c r="S238" s="2"/>
      <c r="T238"/>
      <c r="V238" s="4"/>
      <c r="W238" s="4"/>
      <c r="X238" s="4"/>
    </row>
    <row r="239" spans="2:32" ht="27" customHeight="1">
      <c r="B239" s="940"/>
      <c r="C239" s="941"/>
      <c r="D239" s="768"/>
      <c r="E239" s="790"/>
      <c r="F239" s="791"/>
      <c r="G239" s="794"/>
      <c r="H239" s="810"/>
      <c r="I239" s="797"/>
      <c r="J239" s="800" t="str">
        <f>Languages!$K$176</f>
        <v>Approx. total repair costs, m. Euro</v>
      </c>
      <c r="K239" s="801"/>
      <c r="L239" s="373">
        <f>L252+L243</f>
        <v>89</v>
      </c>
      <c r="M239" s="369" t="s">
        <v>1966</v>
      </c>
      <c r="P239"/>
      <c r="Q239" s="2"/>
      <c r="R239"/>
      <c r="S239" s="2"/>
      <c r="U239" s="10"/>
      <c r="V239" s="4"/>
      <c r="W239" s="4"/>
      <c r="X239" s="4"/>
    </row>
    <row r="240" spans="2:32" ht="21" customHeight="1">
      <c r="B240" s="940"/>
      <c r="C240" s="941"/>
      <c r="D240" s="768"/>
      <c r="E240" s="802" t="s">
        <v>1546</v>
      </c>
      <c r="F240" s="804" t="str">
        <f>Languages!$N$178</f>
        <v>Unit type</v>
      </c>
      <c r="G240" s="769" t="str">
        <f>G$77</f>
        <v>Asset or Component</v>
      </c>
      <c r="H240" s="767" t="s">
        <v>2251</v>
      </c>
      <c r="I240" s="331" t="s">
        <v>2117</v>
      </c>
      <c r="J240" s="771" t="str">
        <f>Languages!$K$178</f>
        <v>Actions</v>
      </c>
      <c r="K240" s="772"/>
      <c r="L240" s="763" t="s">
        <v>1550</v>
      </c>
      <c r="M240" s="764"/>
      <c r="P240"/>
      <c r="Q240" s="2"/>
      <c r="R240"/>
      <c r="S240" s="2"/>
      <c r="U240" s="10"/>
      <c r="V240" s="4"/>
      <c r="W240" s="4"/>
      <c r="X240" s="4"/>
    </row>
    <row r="241" spans="2:32" s="4" customFormat="1" ht="24" customHeight="1" thickBot="1">
      <c r="B241" s="940"/>
      <c r="C241" s="941"/>
      <c r="D241" s="768"/>
      <c r="E241" s="803"/>
      <c r="F241" s="805"/>
      <c r="G241" s="770"/>
      <c r="H241" s="768"/>
      <c r="I241" s="330" t="str">
        <f>Languages!$E$190</f>
        <v>Social Impact level</v>
      </c>
      <c r="J241" s="492" t="str">
        <f>Languages!$K$185</f>
        <v>Action required</v>
      </c>
      <c r="K241" s="504" t="str">
        <f>Languages!$G$193</f>
        <v>Priority 
1 - 5</v>
      </c>
      <c r="L241" s="541" t="s">
        <v>1551</v>
      </c>
      <c r="M241" s="543" t="s">
        <v>1774</v>
      </c>
      <c r="N241"/>
      <c r="P241"/>
      <c r="R241"/>
      <c r="S241" s="2"/>
      <c r="U241" s="10"/>
      <c r="Y241"/>
      <c r="Z241"/>
      <c r="AA241"/>
      <c r="AB241"/>
      <c r="AC241"/>
      <c r="AD241"/>
      <c r="AE241"/>
      <c r="AF241"/>
    </row>
    <row r="242" spans="2:32" ht="25" customHeight="1">
      <c r="B242" s="739" t="str">
        <f>Languages!$C$231&amp;" network"</f>
        <v>Combined water/sewage system network</v>
      </c>
      <c r="C242" s="740"/>
      <c r="D242" s="553" t="s">
        <v>2178</v>
      </c>
      <c r="E242" s="817">
        <v>5</v>
      </c>
      <c r="F242" s="818"/>
      <c r="G242" s="711" t="str">
        <f>G$11</f>
        <v>Asset / Component</v>
      </c>
      <c r="H242" s="734" t="s">
        <v>2123</v>
      </c>
      <c r="I242" s="545" t="s">
        <v>2103</v>
      </c>
      <c r="J242" s="711" t="s">
        <v>2212</v>
      </c>
      <c r="K242" s="807">
        <f>SUM(K245:K247)/3</f>
        <v>3.6666666666666665</v>
      </c>
      <c r="L242" s="546" t="s">
        <v>2214</v>
      </c>
      <c r="M242" s="757"/>
      <c r="P242"/>
      <c r="Q242" s="2"/>
      <c r="R242"/>
      <c r="S242"/>
      <c r="T242"/>
    </row>
    <row r="243" spans="2:32" ht="25" customHeight="1" thickBot="1">
      <c r="B243" s="741"/>
      <c r="C243" s="742"/>
      <c r="D243" s="569" t="s">
        <v>1561</v>
      </c>
      <c r="E243" s="759">
        <f>E242*E244</f>
        <v>550</v>
      </c>
      <c r="F243" s="760"/>
      <c r="G243" s="806"/>
      <c r="H243" s="914"/>
      <c r="I243" s="567" t="s">
        <v>2120</v>
      </c>
      <c r="J243" s="806"/>
      <c r="K243" s="808"/>
      <c r="L243" s="570">
        <f>SUM(M245:M251)</f>
        <v>38</v>
      </c>
      <c r="M243" s="758"/>
      <c r="P243"/>
      <c r="Q243" s="2"/>
      <c r="R243"/>
      <c r="S243"/>
      <c r="T243"/>
    </row>
    <row r="244" spans="2:32" s="4" customFormat="1" ht="24" hidden="1" customHeight="1" outlineLevel="1">
      <c r="B244" s="477"/>
      <c r="C244" s="478"/>
      <c r="D244" s="554" t="s">
        <v>1560</v>
      </c>
      <c r="E244" s="560">
        <v>110</v>
      </c>
      <c r="F244" s="171" t="s">
        <v>2232</v>
      </c>
      <c r="G244" s="461" t="s">
        <v>2130</v>
      </c>
      <c r="H244" s="523" t="s">
        <v>2250</v>
      </c>
      <c r="I244" s="324"/>
      <c r="J244" s="523" t="s">
        <v>28</v>
      </c>
      <c r="K244" s="524" t="str">
        <f>Languages!$G$193</f>
        <v>Priority 
1 - 5</v>
      </c>
      <c r="L244" s="761"/>
      <c r="M244" s="762"/>
      <c r="N244"/>
      <c r="P244"/>
      <c r="R244"/>
      <c r="S244" s="2"/>
      <c r="U244" s="10"/>
      <c r="Y244"/>
      <c r="Z244"/>
      <c r="AA244"/>
      <c r="AB244"/>
      <c r="AC244"/>
      <c r="AD244"/>
      <c r="AE244"/>
      <c r="AF244"/>
    </row>
    <row r="245" spans="2:32" s="4" customFormat="1" ht="24" hidden="1" customHeight="1" outlineLevel="1">
      <c r="B245" s="778" t="s">
        <v>2219</v>
      </c>
      <c r="C245" s="779"/>
      <c r="D245" s="779"/>
      <c r="E245" s="779"/>
      <c r="F245" s="780"/>
      <c r="G245" s="238" t="s">
        <v>1946</v>
      </c>
      <c r="H245" s="333" t="s">
        <v>2124</v>
      </c>
      <c r="I245" s="776" t="s">
        <v>2141</v>
      </c>
      <c r="J245" s="169" t="s">
        <v>1449</v>
      </c>
      <c r="K245" s="167">
        <v>4</v>
      </c>
      <c r="L245" s="453">
        <f>(E$242*E$244*M245)/1000000</f>
        <v>8.8000000000000005E-3</v>
      </c>
      <c r="M245" s="345">
        <v>16</v>
      </c>
      <c r="N245"/>
      <c r="O245" s="2"/>
      <c r="P245"/>
      <c r="Q245" s="2"/>
      <c r="R245"/>
      <c r="S245" s="2"/>
      <c r="U245" s="10"/>
      <c r="Y245"/>
      <c r="Z245"/>
      <c r="AA245"/>
      <c r="AB245"/>
      <c r="AC245"/>
      <c r="AD245"/>
      <c r="AE245"/>
      <c r="AF245"/>
    </row>
    <row r="246" spans="2:32" s="4" customFormat="1" ht="24" hidden="1" customHeight="1" outlineLevel="1">
      <c r="B246" s="781"/>
      <c r="C246" s="782"/>
      <c r="D246" s="782"/>
      <c r="E246" s="782"/>
      <c r="F246" s="783"/>
      <c r="G246" s="238" t="s">
        <v>1947</v>
      </c>
      <c r="H246" s="333" t="s">
        <v>2124</v>
      </c>
      <c r="I246" s="776"/>
      <c r="J246" s="169" t="s">
        <v>1449</v>
      </c>
      <c r="K246" s="167">
        <v>4</v>
      </c>
      <c r="L246" s="453">
        <f t="shared" ref="L246:L247" si="22">(E$242*E$244*M246)/1000000</f>
        <v>3.3E-3</v>
      </c>
      <c r="M246" s="345">
        <v>6</v>
      </c>
      <c r="N246"/>
      <c r="O246" s="2"/>
      <c r="P246"/>
      <c r="Q246" s="2"/>
      <c r="R246"/>
      <c r="S246" s="2"/>
      <c r="U246" s="10"/>
      <c r="Y246"/>
      <c r="Z246"/>
      <c r="AA246"/>
      <c r="AB246"/>
      <c r="AC246"/>
      <c r="AD246"/>
      <c r="AE246"/>
      <c r="AF246"/>
    </row>
    <row r="247" spans="2:32" s="4" customFormat="1" ht="24" hidden="1" customHeight="1" outlineLevel="1">
      <c r="B247" s="781"/>
      <c r="C247" s="782"/>
      <c r="D247" s="782"/>
      <c r="E247" s="782"/>
      <c r="F247" s="783"/>
      <c r="G247" s="238" t="s">
        <v>2036</v>
      </c>
      <c r="H247" s="333" t="s">
        <v>2124</v>
      </c>
      <c r="I247" s="776"/>
      <c r="J247" s="169" t="s">
        <v>1449</v>
      </c>
      <c r="K247" s="167">
        <v>3</v>
      </c>
      <c r="L247" s="453">
        <f t="shared" si="22"/>
        <v>8.8000000000000005E-3</v>
      </c>
      <c r="M247" s="345">
        <v>16</v>
      </c>
      <c r="N247"/>
      <c r="O247" s="2"/>
      <c r="P247"/>
      <c r="Q247" s="2"/>
      <c r="R247"/>
      <c r="S247" s="2"/>
      <c r="U247" s="10"/>
      <c r="Y247"/>
      <c r="Z247"/>
      <c r="AA247"/>
      <c r="AB247"/>
      <c r="AC247"/>
      <c r="AD247"/>
      <c r="AE247"/>
      <c r="AF247"/>
    </row>
    <row r="248" spans="2:32" s="4" customFormat="1" ht="24" hidden="1" customHeight="1" outlineLevel="1">
      <c r="B248" s="773"/>
      <c r="C248" s="774"/>
      <c r="D248" s="774"/>
      <c r="E248" s="774"/>
      <c r="F248" s="775"/>
      <c r="G248" s="271"/>
      <c r="H248" s="333" t="s">
        <v>2124</v>
      </c>
      <c r="I248" s="776"/>
      <c r="J248" s="169" t="s">
        <v>1449</v>
      </c>
      <c r="K248" s="167">
        <v>3</v>
      </c>
      <c r="L248" s="453">
        <f>(E$266*E$268*M248)/1000000</f>
        <v>0</v>
      </c>
      <c r="M248" s="345">
        <v>0</v>
      </c>
      <c r="N248"/>
      <c r="O248" s="2"/>
      <c r="P248"/>
      <c r="Q248" s="2"/>
      <c r="R248"/>
      <c r="S248" s="2"/>
      <c r="U248" s="10"/>
      <c r="Y248"/>
      <c r="Z248"/>
      <c r="AA248"/>
      <c r="AB248"/>
      <c r="AC248"/>
      <c r="AD248"/>
      <c r="AE248"/>
      <c r="AF248"/>
    </row>
    <row r="249" spans="2:32" s="4" customFormat="1" ht="24" hidden="1" customHeight="1" outlineLevel="1">
      <c r="B249" s="773"/>
      <c r="C249" s="774"/>
      <c r="D249" s="774"/>
      <c r="E249" s="774"/>
      <c r="F249" s="775"/>
      <c r="G249" s="272"/>
      <c r="H249" s="333" t="s">
        <v>2124</v>
      </c>
      <c r="I249" s="776"/>
      <c r="J249" s="169" t="s">
        <v>1449</v>
      </c>
      <c r="K249" s="167">
        <v>3</v>
      </c>
      <c r="L249" s="453">
        <f t="shared" ref="L249:L250" si="23">(E$266*E$268*M249)/1000000</f>
        <v>0</v>
      </c>
      <c r="M249" s="345">
        <v>0</v>
      </c>
      <c r="N249"/>
      <c r="O249" s="2"/>
      <c r="P249"/>
      <c r="Q249" s="2"/>
      <c r="R249"/>
      <c r="S249" s="2"/>
      <c r="U249" s="10"/>
      <c r="Y249"/>
      <c r="Z249"/>
      <c r="AA249"/>
      <c r="AB249"/>
      <c r="AC249"/>
      <c r="AD249"/>
      <c r="AE249"/>
      <c r="AF249"/>
    </row>
    <row r="250" spans="2:32" s="4" customFormat="1" ht="24" hidden="1" customHeight="1" outlineLevel="1" thickBot="1">
      <c r="B250" s="773"/>
      <c r="C250" s="774"/>
      <c r="D250" s="774"/>
      <c r="E250" s="774"/>
      <c r="F250" s="775"/>
      <c r="G250" s="459"/>
      <c r="H250" s="513" t="s">
        <v>2124</v>
      </c>
      <c r="I250" s="776"/>
      <c r="J250" s="169" t="s">
        <v>1449</v>
      </c>
      <c r="K250" s="456">
        <v>3</v>
      </c>
      <c r="L250" s="548">
        <f t="shared" si="23"/>
        <v>0</v>
      </c>
      <c r="M250" s="356">
        <v>0</v>
      </c>
      <c r="N250"/>
      <c r="O250" s="2"/>
      <c r="P250"/>
      <c r="Q250" s="2"/>
      <c r="R250"/>
      <c r="S250" s="2"/>
      <c r="U250" s="10"/>
      <c r="Y250"/>
      <c r="Z250"/>
      <c r="AA250"/>
      <c r="AB250"/>
      <c r="AC250"/>
      <c r="AD250"/>
      <c r="AE250"/>
      <c r="AF250"/>
    </row>
    <row r="251" spans="2:32" ht="25" customHeight="1" collapsed="1">
      <c r="B251" s="739" t="str">
        <f>Languages!$C$232&amp;" network"</f>
        <v>Water treatment &amp; pumping network</v>
      </c>
      <c r="C251" s="740"/>
      <c r="D251" s="553" t="s">
        <v>2178</v>
      </c>
      <c r="E251" s="817">
        <v>6</v>
      </c>
      <c r="F251" s="818"/>
      <c r="G251" s="711" t="str">
        <f>G$11</f>
        <v>Asset / Component</v>
      </c>
      <c r="H251" s="734" t="s">
        <v>2123</v>
      </c>
      <c r="I251" s="545" t="s">
        <v>2103</v>
      </c>
      <c r="J251" s="711" t="s">
        <v>2212</v>
      </c>
      <c r="K251" s="807">
        <f>SUM(K254:K256)/3</f>
        <v>3.6666666666666665</v>
      </c>
      <c r="L251" s="546" t="s">
        <v>2214</v>
      </c>
      <c r="M251" s="757"/>
      <c r="P251"/>
      <c r="Q251" s="2"/>
      <c r="R251"/>
      <c r="S251"/>
      <c r="T251"/>
    </row>
    <row r="252" spans="2:32" ht="25" customHeight="1" thickBot="1">
      <c r="B252" s="741"/>
      <c r="C252" s="742"/>
      <c r="D252" s="569" t="str">
        <f>D$243</f>
        <v>Aggregate volume</v>
      </c>
      <c r="E252" s="759">
        <f>E251*E253</f>
        <v>540</v>
      </c>
      <c r="F252" s="760"/>
      <c r="G252" s="806"/>
      <c r="H252" s="914"/>
      <c r="I252" s="567" t="s">
        <v>2120</v>
      </c>
      <c r="J252" s="806"/>
      <c r="K252" s="808"/>
      <c r="L252" s="570">
        <f>SUM(M254:M266)</f>
        <v>51</v>
      </c>
      <c r="M252" s="758"/>
      <c r="P252"/>
      <c r="Q252" s="2"/>
      <c r="R252"/>
      <c r="S252"/>
      <c r="T252"/>
    </row>
    <row r="253" spans="2:32" s="4" customFormat="1" ht="24" hidden="1" customHeight="1" outlineLevel="1">
      <c r="B253" s="477"/>
      <c r="C253" s="478"/>
      <c r="D253" s="554" t="s">
        <v>1560</v>
      </c>
      <c r="E253" s="557">
        <v>90</v>
      </c>
      <c r="F253" s="339" t="s">
        <v>2232</v>
      </c>
      <c r="G253" s="461" t="s">
        <v>2130</v>
      </c>
      <c r="H253" s="523" t="s">
        <v>2250</v>
      </c>
      <c r="I253" s="324"/>
      <c r="J253" s="523" t="s">
        <v>28</v>
      </c>
      <c r="K253" s="524" t="str">
        <f>Languages!$G$193</f>
        <v>Priority 
1 - 5</v>
      </c>
      <c r="L253" s="761"/>
      <c r="M253" s="762"/>
      <c r="N253"/>
      <c r="P253"/>
      <c r="R253"/>
      <c r="S253" s="2"/>
      <c r="U253" s="10"/>
      <c r="Y253"/>
      <c r="Z253"/>
      <c r="AA253"/>
      <c r="AB253"/>
      <c r="AC253"/>
      <c r="AD253"/>
      <c r="AE253"/>
      <c r="AF253"/>
    </row>
    <row r="254" spans="2:32" s="4" customFormat="1" ht="24" hidden="1" customHeight="1" outlineLevel="1">
      <c r="B254" s="778" t="s">
        <v>2219</v>
      </c>
      <c r="C254" s="779"/>
      <c r="D254" s="779"/>
      <c r="E254" s="779"/>
      <c r="F254" s="780"/>
      <c r="G254" s="238" t="s">
        <v>1946</v>
      </c>
      <c r="H254" s="333" t="s">
        <v>2124</v>
      </c>
      <c r="I254" s="776" t="s">
        <v>2141</v>
      </c>
      <c r="J254" s="169" t="s">
        <v>1449</v>
      </c>
      <c r="K254" s="167">
        <v>4</v>
      </c>
      <c r="L254" s="453">
        <f>(E$251*E$253*M254)/1000000</f>
        <v>8.6400000000000001E-3</v>
      </c>
      <c r="M254" s="345">
        <v>16</v>
      </c>
      <c r="N254"/>
      <c r="O254" s="2"/>
      <c r="P254"/>
      <c r="Q254" s="2"/>
      <c r="R254"/>
      <c r="S254" s="2"/>
      <c r="U254" s="10"/>
      <c r="Y254"/>
      <c r="Z254"/>
      <c r="AA254"/>
      <c r="AB254"/>
      <c r="AC254"/>
      <c r="AD254"/>
      <c r="AE254"/>
      <c r="AF254"/>
    </row>
    <row r="255" spans="2:32" s="4" customFormat="1" ht="24" hidden="1" customHeight="1" outlineLevel="1">
      <c r="B255" s="781"/>
      <c r="C255" s="782"/>
      <c r="D255" s="782"/>
      <c r="E255" s="782"/>
      <c r="F255" s="783"/>
      <c r="G255" s="238" t="s">
        <v>1947</v>
      </c>
      <c r="H255" s="333" t="s">
        <v>2124</v>
      </c>
      <c r="I255" s="776"/>
      <c r="J255" s="169" t="s">
        <v>1449</v>
      </c>
      <c r="K255" s="167">
        <v>4</v>
      </c>
      <c r="L255" s="453">
        <f t="shared" ref="L255:L256" si="24">(E$251*E$253*M255)/1000000</f>
        <v>3.2399999999999998E-3</v>
      </c>
      <c r="M255" s="345">
        <v>6</v>
      </c>
      <c r="N255"/>
      <c r="O255" s="2"/>
      <c r="P255"/>
      <c r="Q255" s="2"/>
      <c r="R255"/>
      <c r="S255" s="2"/>
      <c r="U255" s="10"/>
      <c r="Y255"/>
      <c r="Z255"/>
      <c r="AA255"/>
      <c r="AB255"/>
      <c r="AC255"/>
      <c r="AD255"/>
      <c r="AE255"/>
      <c r="AF255"/>
    </row>
    <row r="256" spans="2:32" s="4" customFormat="1" ht="24" hidden="1" customHeight="1" outlineLevel="1">
      <c r="B256" s="781"/>
      <c r="C256" s="782"/>
      <c r="D256" s="782"/>
      <c r="E256" s="782"/>
      <c r="F256" s="783"/>
      <c r="G256" s="238" t="s">
        <v>2036</v>
      </c>
      <c r="H256" s="333" t="s">
        <v>2124</v>
      </c>
      <c r="I256" s="776"/>
      <c r="J256" s="169" t="s">
        <v>1449</v>
      </c>
      <c r="K256" s="167">
        <v>3</v>
      </c>
      <c r="L256" s="453">
        <f t="shared" si="24"/>
        <v>8.6400000000000001E-3</v>
      </c>
      <c r="M256" s="345">
        <v>16</v>
      </c>
      <c r="N256"/>
      <c r="O256" s="2"/>
      <c r="P256"/>
      <c r="Q256" s="2"/>
      <c r="R256"/>
      <c r="S256" s="2"/>
      <c r="U256" s="10"/>
      <c r="Y256"/>
      <c r="Z256"/>
      <c r="AA256"/>
      <c r="AB256"/>
      <c r="AC256"/>
      <c r="AD256"/>
      <c r="AE256"/>
      <c r="AF256"/>
    </row>
    <row r="257" spans="2:32" s="4" customFormat="1" ht="24" hidden="1" customHeight="1" outlineLevel="1">
      <c r="B257" s="773"/>
      <c r="C257" s="774"/>
      <c r="D257" s="774"/>
      <c r="E257" s="774"/>
      <c r="F257" s="775"/>
      <c r="G257" s="271"/>
      <c r="H257" s="333" t="s">
        <v>2124</v>
      </c>
      <c r="I257" s="776"/>
      <c r="J257" s="169" t="s">
        <v>1449</v>
      </c>
      <c r="K257" s="167">
        <v>3</v>
      </c>
      <c r="L257" s="453">
        <f>(E$266*E$268*M257)/1000000</f>
        <v>0</v>
      </c>
      <c r="M257" s="345">
        <v>0</v>
      </c>
      <c r="N257"/>
      <c r="O257" s="2"/>
      <c r="P257"/>
      <c r="Q257" s="2"/>
      <c r="R257"/>
      <c r="S257" s="2"/>
      <c r="U257" s="10"/>
      <c r="Y257"/>
      <c r="Z257"/>
      <c r="AA257"/>
      <c r="AB257"/>
      <c r="AC257"/>
      <c r="AD257"/>
      <c r="AE257"/>
      <c r="AF257"/>
    </row>
    <row r="258" spans="2:32" s="4" customFormat="1" ht="24" hidden="1" customHeight="1" outlineLevel="1">
      <c r="B258" s="773"/>
      <c r="C258" s="774"/>
      <c r="D258" s="774"/>
      <c r="E258" s="774"/>
      <c r="F258" s="775"/>
      <c r="G258" s="272"/>
      <c r="H258" s="333" t="s">
        <v>2124</v>
      </c>
      <c r="I258" s="776"/>
      <c r="J258" s="169" t="s">
        <v>1449</v>
      </c>
      <c r="K258" s="167">
        <v>3</v>
      </c>
      <c r="L258" s="453">
        <f t="shared" ref="L258:L259" si="25">(E$266*E$268*M258)/1000000</f>
        <v>0</v>
      </c>
      <c r="M258" s="345">
        <v>0</v>
      </c>
      <c r="N258"/>
      <c r="O258" s="2"/>
      <c r="P258"/>
      <c r="Q258" s="2"/>
      <c r="R258"/>
      <c r="S258" s="2"/>
      <c r="U258" s="10"/>
      <c r="Y258"/>
      <c r="Z258"/>
      <c r="AA258"/>
      <c r="AB258"/>
      <c r="AC258"/>
      <c r="AD258"/>
      <c r="AE258"/>
      <c r="AF258"/>
    </row>
    <row r="259" spans="2:32" s="4" customFormat="1" ht="24" hidden="1" customHeight="1" outlineLevel="1" thickBot="1">
      <c r="B259" s="773"/>
      <c r="C259" s="774"/>
      <c r="D259" s="774"/>
      <c r="E259" s="774"/>
      <c r="F259" s="775"/>
      <c r="G259" s="459"/>
      <c r="H259" s="333" t="s">
        <v>2124</v>
      </c>
      <c r="I259" s="777"/>
      <c r="J259" s="169" t="s">
        <v>1449</v>
      </c>
      <c r="K259" s="167">
        <v>3</v>
      </c>
      <c r="L259" s="453">
        <f t="shared" si="25"/>
        <v>0</v>
      </c>
      <c r="M259" s="345">
        <v>0</v>
      </c>
      <c r="N259"/>
      <c r="O259" s="2"/>
      <c r="P259"/>
      <c r="Q259" s="2"/>
      <c r="R259"/>
      <c r="S259" s="2"/>
      <c r="U259" s="10"/>
      <c r="Y259"/>
      <c r="Z259"/>
      <c r="AA259"/>
      <c r="AB259"/>
      <c r="AC259"/>
      <c r="AD259"/>
      <c r="AE259"/>
      <c r="AF259"/>
    </row>
    <row r="260" spans="2:32" ht="15" customHeight="1" collapsed="1" thickBot="1">
      <c r="B260" s="163" t="s">
        <v>46</v>
      </c>
      <c r="C260" s="163"/>
      <c r="D260" s="163"/>
      <c r="E260" s="163"/>
      <c r="F260" s="163"/>
      <c r="G260" s="165"/>
      <c r="H260" s="12"/>
      <c r="I260" s="12"/>
      <c r="J260" s="12"/>
      <c r="K260" s="12"/>
      <c r="L260" s="370"/>
      <c r="M260" s="370"/>
      <c r="O260"/>
      <c r="P260"/>
      <c r="Q260" s="2"/>
      <c r="R260"/>
      <c r="S260" s="2"/>
      <c r="U260" s="10"/>
      <c r="V260" s="4"/>
      <c r="W260" s="4"/>
      <c r="X260" s="4"/>
    </row>
    <row r="261" spans="2:32" ht="28" customHeight="1" thickBot="1">
      <c r="B261" s="765" t="str">
        <f>B$2</f>
        <v>Damage Assessments for Sustainable Reconstruction in Ukraine</v>
      </c>
      <c r="C261" s="766"/>
      <c r="D261" s="766"/>
      <c r="E261" s="766"/>
      <c r="F261" s="766"/>
      <c r="G261" s="766"/>
      <c r="H261" s="766"/>
      <c r="I261" s="784" t="str">
        <f>I$2</f>
        <v>Irpin Urban Area</v>
      </c>
      <c r="J261" s="785"/>
      <c r="K261" s="786"/>
      <c r="L261" s="371" t="str">
        <f>L$74</f>
        <v>27Jan23</v>
      </c>
      <c r="M261" s="164">
        <v>13</v>
      </c>
      <c r="P261"/>
      <c r="Q261" s="2"/>
      <c r="R261"/>
      <c r="S261" s="2"/>
      <c r="T261"/>
      <c r="V261" s="4"/>
      <c r="W261" s="4"/>
      <c r="X261" s="4"/>
    </row>
    <row r="262" spans="2:32" ht="27" customHeight="1">
      <c r="B262" s="938" t="str">
        <f>Languages!$C$185&amp;" 9"</f>
        <v>Public utilities and services 9</v>
      </c>
      <c r="C262" s="939"/>
      <c r="D262" s="787" t="str">
        <f>Languages!$N$176</f>
        <v>Information on main asset &amp; sub-assets</v>
      </c>
      <c r="E262" s="788" t="str">
        <f>Languages!$I$188</f>
        <v>Area and/or quantity assessed</v>
      </c>
      <c r="F262" s="789"/>
      <c r="G262" s="792" t="str">
        <f>Languages!$M$194</f>
        <v>Enter info on type and area / quantity of assets, type and extent of damage.</v>
      </c>
      <c r="H262" s="809"/>
      <c r="I262" s="796" t="s">
        <v>2118</v>
      </c>
      <c r="J262" s="798" t="str">
        <f>Languages!$K$177</f>
        <v>Approx. repair costs, priority 4 &amp; 5 assets, m. Euro</v>
      </c>
      <c r="K262" s="799"/>
      <c r="L262" s="372">
        <f>IF(K266&gt;3,L267)+IF(K275&gt;3,L276)</f>
        <v>76</v>
      </c>
      <c r="M262" s="368" t="s">
        <v>1966</v>
      </c>
      <c r="P262"/>
      <c r="Q262" s="2"/>
      <c r="R262"/>
      <c r="S262" s="2"/>
      <c r="T262"/>
      <c r="V262" s="4"/>
      <c r="W262" s="4"/>
      <c r="X262" s="4"/>
    </row>
    <row r="263" spans="2:32" ht="27" customHeight="1">
      <c r="B263" s="940"/>
      <c r="C263" s="941"/>
      <c r="D263" s="768"/>
      <c r="E263" s="790"/>
      <c r="F263" s="791"/>
      <c r="G263" s="794"/>
      <c r="H263" s="810"/>
      <c r="I263" s="797"/>
      <c r="J263" s="800" t="str">
        <f>Languages!$K$176</f>
        <v>Approx. total repair costs, m. Euro</v>
      </c>
      <c r="K263" s="801"/>
      <c r="L263" s="373">
        <f>L267+L276</f>
        <v>76</v>
      </c>
      <c r="M263" s="369" t="s">
        <v>1966</v>
      </c>
      <c r="P263"/>
      <c r="Q263" s="2"/>
      <c r="R263"/>
      <c r="S263" s="2"/>
      <c r="U263" s="10"/>
      <c r="V263" s="4"/>
      <c r="W263" s="4"/>
      <c r="X263" s="4"/>
    </row>
    <row r="264" spans="2:32" ht="21" customHeight="1">
      <c r="B264" s="940"/>
      <c r="C264" s="941"/>
      <c r="D264" s="768"/>
      <c r="E264" s="802" t="s">
        <v>1546</v>
      </c>
      <c r="F264" s="804" t="str">
        <f>Languages!$N$178</f>
        <v>Unit type</v>
      </c>
      <c r="G264" s="769" t="str">
        <f>G$77</f>
        <v>Asset or Component</v>
      </c>
      <c r="H264" s="767" t="s">
        <v>2251</v>
      </c>
      <c r="I264" s="331" t="s">
        <v>2117</v>
      </c>
      <c r="J264" s="771" t="str">
        <f>Languages!$K$178</f>
        <v>Actions</v>
      </c>
      <c r="K264" s="772"/>
      <c r="L264" s="763" t="s">
        <v>1550</v>
      </c>
      <c r="M264" s="764"/>
      <c r="P264"/>
      <c r="Q264" s="2"/>
      <c r="R264"/>
      <c r="S264" s="2"/>
      <c r="U264" s="10"/>
      <c r="V264" s="4"/>
      <c r="W264" s="4"/>
      <c r="X264" s="4"/>
    </row>
    <row r="265" spans="2:32" s="4" customFormat="1" ht="24" customHeight="1" thickBot="1">
      <c r="B265" s="940"/>
      <c r="C265" s="941"/>
      <c r="D265" s="768"/>
      <c r="E265" s="803"/>
      <c r="F265" s="805"/>
      <c r="G265" s="770"/>
      <c r="H265" s="768"/>
      <c r="I265" s="330" t="str">
        <f>Languages!$E$190</f>
        <v>Social Impact level</v>
      </c>
      <c r="J265" s="492" t="str">
        <f>Languages!$K$185</f>
        <v>Action required</v>
      </c>
      <c r="K265" s="504" t="str">
        <f>Languages!$G$193</f>
        <v>Priority 
1 - 5</v>
      </c>
      <c r="L265" s="541" t="s">
        <v>1551</v>
      </c>
      <c r="M265" s="543" t="s">
        <v>1774</v>
      </c>
      <c r="N265"/>
      <c r="P265"/>
      <c r="R265"/>
      <c r="S265" s="2"/>
      <c r="U265" s="10"/>
      <c r="Y265"/>
      <c r="Z265"/>
      <c r="AA265"/>
      <c r="AB265"/>
      <c r="AC265"/>
      <c r="AD265"/>
      <c r="AE265"/>
      <c r="AF265"/>
    </row>
    <row r="266" spans="2:32" s="4" customFormat="1" ht="25" customHeight="1">
      <c r="B266" s="739" t="str">
        <f>Languages!$C$233&amp;" network"</f>
        <v>Sewage treatment &amp; pumping network</v>
      </c>
      <c r="C266" s="740"/>
      <c r="D266" s="553" t="s">
        <v>2178</v>
      </c>
      <c r="E266" s="817">
        <v>7</v>
      </c>
      <c r="F266" s="818"/>
      <c r="G266" s="711" t="str">
        <f>G$11</f>
        <v>Asset / Component</v>
      </c>
      <c r="H266" s="734" t="s">
        <v>2123</v>
      </c>
      <c r="I266" s="545" t="s">
        <v>2103</v>
      </c>
      <c r="J266" s="711" t="s">
        <v>2212</v>
      </c>
      <c r="K266" s="807">
        <f>SUM(K269:K271)/3</f>
        <v>4</v>
      </c>
      <c r="L266" s="546" t="s">
        <v>2214</v>
      </c>
      <c r="M266" s="757"/>
      <c r="N266"/>
      <c r="P266"/>
      <c r="R266"/>
      <c r="S266" s="2"/>
      <c r="U266" s="10"/>
      <c r="Y266"/>
      <c r="Z266"/>
      <c r="AA266"/>
      <c r="AB266"/>
      <c r="AC266"/>
      <c r="AD266"/>
      <c r="AE266"/>
      <c r="AF266"/>
    </row>
    <row r="267" spans="2:32" s="4" customFormat="1" ht="25" customHeight="1" thickBot="1">
      <c r="B267" s="741"/>
      <c r="C267" s="742"/>
      <c r="D267" s="568" t="str">
        <f>D$243</f>
        <v>Aggregate volume</v>
      </c>
      <c r="E267" s="861">
        <f>E266*E268</f>
        <v>7000</v>
      </c>
      <c r="F267" s="862"/>
      <c r="G267" s="712"/>
      <c r="H267" s="735"/>
      <c r="I267" s="380" t="s">
        <v>2120</v>
      </c>
      <c r="J267" s="712"/>
      <c r="K267" s="822"/>
      <c r="L267" s="452">
        <f>SUM(M269:M271)</f>
        <v>38</v>
      </c>
      <c r="M267" s="811"/>
      <c r="N267"/>
      <c r="P267"/>
      <c r="R267"/>
      <c r="S267" s="2"/>
      <c r="U267" s="10"/>
      <c r="Y267"/>
      <c r="Z267"/>
      <c r="AA267"/>
      <c r="AB267"/>
      <c r="AC267"/>
      <c r="AD267"/>
      <c r="AE267"/>
      <c r="AF267"/>
    </row>
    <row r="268" spans="2:32" s="4" customFormat="1" ht="24" hidden="1" customHeight="1" outlineLevel="1">
      <c r="B268" s="475"/>
      <c r="C268" s="476"/>
      <c r="D268" s="554" t="s">
        <v>1560</v>
      </c>
      <c r="E268" s="557">
        <v>1000</v>
      </c>
      <c r="F268" s="339" t="s">
        <v>2233</v>
      </c>
      <c r="G268" s="461" t="s">
        <v>2130</v>
      </c>
      <c r="H268" s="523" t="s">
        <v>2250</v>
      </c>
      <c r="I268" s="324"/>
      <c r="J268" s="523" t="s">
        <v>28</v>
      </c>
      <c r="K268" s="524" t="str">
        <f>Languages!$G$193</f>
        <v>Priority 
1 - 5</v>
      </c>
      <c r="L268" s="761"/>
      <c r="M268" s="762"/>
      <c r="N268"/>
      <c r="P268"/>
      <c r="R268"/>
      <c r="S268" s="2"/>
      <c r="U268" s="10"/>
      <c r="Y268"/>
      <c r="Z268"/>
      <c r="AA268"/>
      <c r="AB268"/>
      <c r="AC268"/>
      <c r="AD268"/>
      <c r="AE268"/>
      <c r="AF268"/>
    </row>
    <row r="269" spans="2:32" s="4" customFormat="1" ht="24" hidden="1" customHeight="1" outlineLevel="1">
      <c r="B269" s="778" t="s">
        <v>2219</v>
      </c>
      <c r="C269" s="779"/>
      <c r="D269" s="779"/>
      <c r="E269" s="779"/>
      <c r="F269" s="780"/>
      <c r="G269" s="238" t="s">
        <v>1946</v>
      </c>
      <c r="H269" s="333" t="s">
        <v>2124</v>
      </c>
      <c r="I269" s="776" t="s">
        <v>2141</v>
      </c>
      <c r="J269" s="169" t="s">
        <v>1449</v>
      </c>
      <c r="K269" s="167">
        <v>4</v>
      </c>
      <c r="L269" s="453">
        <f>(E$266*E$268*M269)/1000000</f>
        <v>0.112</v>
      </c>
      <c r="M269" s="345">
        <v>16</v>
      </c>
      <c r="N269"/>
      <c r="P269"/>
      <c r="R269"/>
      <c r="S269" s="2"/>
      <c r="U269" s="10"/>
      <c r="Y269"/>
      <c r="Z269"/>
      <c r="AA269"/>
      <c r="AB269"/>
      <c r="AC269"/>
      <c r="AD269"/>
      <c r="AE269"/>
      <c r="AF269"/>
    </row>
    <row r="270" spans="2:32" s="4" customFormat="1" ht="24" hidden="1" customHeight="1" outlineLevel="1">
      <c r="B270" s="781"/>
      <c r="C270" s="782"/>
      <c r="D270" s="782"/>
      <c r="E270" s="782"/>
      <c r="F270" s="783"/>
      <c r="G270" s="238" t="s">
        <v>1947</v>
      </c>
      <c r="H270" s="333" t="s">
        <v>2124</v>
      </c>
      <c r="I270" s="776"/>
      <c r="J270" s="169" t="s">
        <v>1449</v>
      </c>
      <c r="K270" s="167">
        <v>4</v>
      </c>
      <c r="L270" s="453">
        <f t="shared" ref="L270:L271" si="26">(E$266*E$268*M270)/1000000</f>
        <v>4.2000000000000003E-2</v>
      </c>
      <c r="M270" s="345">
        <v>6</v>
      </c>
      <c r="N270"/>
      <c r="P270"/>
      <c r="R270"/>
      <c r="S270" s="2"/>
      <c r="U270" s="10"/>
      <c r="Y270"/>
      <c r="Z270"/>
      <c r="AA270"/>
      <c r="AB270"/>
      <c r="AC270"/>
      <c r="AD270"/>
      <c r="AE270"/>
      <c r="AF270"/>
    </row>
    <row r="271" spans="2:32" s="4" customFormat="1" ht="24" hidden="1" customHeight="1" outlineLevel="1">
      <c r="B271" s="781"/>
      <c r="C271" s="782"/>
      <c r="D271" s="782"/>
      <c r="E271" s="782"/>
      <c r="F271" s="783"/>
      <c r="G271" s="238" t="s">
        <v>2036</v>
      </c>
      <c r="H271" s="333" t="s">
        <v>2124</v>
      </c>
      <c r="I271" s="776"/>
      <c r="J271" s="169" t="s">
        <v>1449</v>
      </c>
      <c r="K271" s="167">
        <v>4</v>
      </c>
      <c r="L271" s="453">
        <f t="shared" si="26"/>
        <v>0.112</v>
      </c>
      <c r="M271" s="345">
        <v>16</v>
      </c>
      <c r="N271"/>
      <c r="P271"/>
      <c r="R271"/>
      <c r="S271" s="2"/>
      <c r="U271" s="10"/>
      <c r="Y271"/>
      <c r="Z271"/>
      <c r="AA271"/>
      <c r="AB271"/>
      <c r="AC271"/>
      <c r="AD271"/>
      <c r="AE271"/>
      <c r="AF271"/>
    </row>
    <row r="272" spans="2:32" s="4" customFormat="1" ht="24" hidden="1" customHeight="1" outlineLevel="1">
      <c r="B272" s="773"/>
      <c r="C272" s="774"/>
      <c r="D272" s="774"/>
      <c r="E272" s="774"/>
      <c r="F272" s="775"/>
      <c r="G272" s="271"/>
      <c r="H272" s="333" t="s">
        <v>2124</v>
      </c>
      <c r="I272" s="776"/>
      <c r="J272" s="169" t="s">
        <v>1449</v>
      </c>
      <c r="K272" s="167">
        <v>3</v>
      </c>
      <c r="L272" s="453">
        <f>(E$266*E$268*M272)/1000000</f>
        <v>0</v>
      </c>
      <c r="M272" s="345">
        <v>0</v>
      </c>
      <c r="N272"/>
      <c r="O272" s="2"/>
      <c r="P272"/>
      <c r="Q272" s="2"/>
      <c r="R272"/>
      <c r="S272" s="2"/>
      <c r="U272" s="10"/>
      <c r="Y272"/>
      <c r="Z272"/>
      <c r="AA272"/>
      <c r="AB272"/>
      <c r="AC272"/>
      <c r="AD272"/>
      <c r="AE272"/>
      <c r="AF272"/>
    </row>
    <row r="273" spans="2:32" s="4" customFormat="1" ht="24" hidden="1" customHeight="1" outlineLevel="1">
      <c r="B273" s="773"/>
      <c r="C273" s="774"/>
      <c r="D273" s="774"/>
      <c r="E273" s="774"/>
      <c r="F273" s="775"/>
      <c r="G273" s="272"/>
      <c r="H273" s="333" t="s">
        <v>2124</v>
      </c>
      <c r="I273" s="776"/>
      <c r="J273" s="169" t="s">
        <v>1449</v>
      </c>
      <c r="K273" s="167">
        <v>3</v>
      </c>
      <c r="L273" s="453">
        <f t="shared" ref="L273:L274" si="27">(E$266*E$268*M273)/1000000</f>
        <v>0</v>
      </c>
      <c r="M273" s="345">
        <v>0</v>
      </c>
      <c r="N273"/>
      <c r="O273" s="2"/>
      <c r="P273"/>
      <c r="Q273" s="2"/>
      <c r="R273"/>
      <c r="S273" s="2"/>
      <c r="U273" s="10"/>
      <c r="Y273"/>
      <c r="Z273"/>
      <c r="AA273"/>
      <c r="AB273"/>
      <c r="AC273"/>
      <c r="AD273"/>
      <c r="AE273"/>
      <c r="AF273"/>
    </row>
    <row r="274" spans="2:32" s="4" customFormat="1" ht="24" hidden="1" customHeight="1" outlineLevel="1" thickBot="1">
      <c r="B274" s="773"/>
      <c r="C274" s="774"/>
      <c r="D274" s="774"/>
      <c r="E274" s="774"/>
      <c r="F274" s="775"/>
      <c r="G274" s="459"/>
      <c r="H274" s="513" t="s">
        <v>2124</v>
      </c>
      <c r="I274" s="776"/>
      <c r="J274" s="169" t="s">
        <v>1449</v>
      </c>
      <c r="K274" s="456">
        <v>3</v>
      </c>
      <c r="L274" s="548">
        <f t="shared" si="27"/>
        <v>0</v>
      </c>
      <c r="M274" s="356">
        <v>0</v>
      </c>
      <c r="N274"/>
      <c r="O274" s="2"/>
      <c r="P274"/>
      <c r="Q274" s="2"/>
      <c r="R274"/>
      <c r="S274" s="2"/>
      <c r="U274" s="10"/>
      <c r="Y274"/>
      <c r="Z274"/>
      <c r="AA274"/>
      <c r="AB274"/>
      <c r="AC274"/>
      <c r="AD274"/>
      <c r="AE274"/>
      <c r="AF274"/>
    </row>
    <row r="275" spans="2:32" ht="29" customHeight="1" collapsed="1">
      <c r="B275" s="739" t="str">
        <f>Languages!$C$234&amp;" network"</f>
        <v>Storm sewer network</v>
      </c>
      <c r="C275" s="740"/>
      <c r="D275" s="553" t="s">
        <v>2178</v>
      </c>
      <c r="E275" s="860">
        <v>20</v>
      </c>
      <c r="F275" s="820"/>
      <c r="G275" s="711" t="str">
        <f>G$11</f>
        <v>Asset / Component</v>
      </c>
      <c r="H275" s="734" t="s">
        <v>2123</v>
      </c>
      <c r="I275" s="545" t="s">
        <v>2103</v>
      </c>
      <c r="J275" s="711" t="s">
        <v>2212</v>
      </c>
      <c r="K275" s="807">
        <f>SUM(K278:K280)/3</f>
        <v>3.6666666666666665</v>
      </c>
      <c r="L275" s="546" t="s">
        <v>2214</v>
      </c>
      <c r="M275" s="757"/>
      <c r="P275"/>
      <c r="Q275" s="2"/>
      <c r="R275"/>
      <c r="S275"/>
      <c r="T275"/>
    </row>
    <row r="276" spans="2:32" ht="23" customHeight="1" thickBot="1">
      <c r="B276" s="741"/>
      <c r="C276" s="742"/>
      <c r="D276" s="568" t="str">
        <f>D$243</f>
        <v>Aggregate volume</v>
      </c>
      <c r="E276" s="861">
        <f>E275*E277</f>
        <v>2200</v>
      </c>
      <c r="F276" s="862"/>
      <c r="G276" s="712"/>
      <c r="H276" s="735"/>
      <c r="I276" s="380" t="s">
        <v>2120</v>
      </c>
      <c r="J276" s="712"/>
      <c r="K276" s="822"/>
      <c r="L276" s="452">
        <f>SUM(M278:M280)</f>
        <v>38</v>
      </c>
      <c r="M276" s="811"/>
      <c r="P276"/>
      <c r="Q276" s="2"/>
      <c r="R276"/>
      <c r="S276"/>
      <c r="T276"/>
    </row>
    <row r="277" spans="2:32" s="4" customFormat="1" ht="24" hidden="1" customHeight="1" outlineLevel="1">
      <c r="B277" s="475"/>
      <c r="C277" s="476"/>
      <c r="D277" s="554" t="s">
        <v>1560</v>
      </c>
      <c r="E277" s="561">
        <v>110</v>
      </c>
      <c r="F277" s="171"/>
      <c r="G277" s="461" t="s">
        <v>2130</v>
      </c>
      <c r="H277" s="523" t="s">
        <v>2250</v>
      </c>
      <c r="I277" s="776" t="s">
        <v>2141</v>
      </c>
      <c r="J277" s="523" t="s">
        <v>28</v>
      </c>
      <c r="K277" s="524" t="str">
        <f>Languages!$G$193</f>
        <v>Priority 
1 - 5</v>
      </c>
      <c r="L277" s="761"/>
      <c r="M277" s="762"/>
      <c r="N277"/>
      <c r="P277"/>
      <c r="R277"/>
      <c r="S277" s="2"/>
      <c r="U277" s="10"/>
      <c r="Y277"/>
      <c r="Z277"/>
      <c r="AA277"/>
      <c r="AB277"/>
      <c r="AC277"/>
      <c r="AD277"/>
      <c r="AE277"/>
      <c r="AF277"/>
    </row>
    <row r="278" spans="2:32" s="4" customFormat="1" ht="24" hidden="1" customHeight="1" outlineLevel="1">
      <c r="B278" s="778" t="s">
        <v>2219</v>
      </c>
      <c r="C278" s="779"/>
      <c r="D278" s="779"/>
      <c r="E278" s="779"/>
      <c r="F278" s="780"/>
      <c r="G278" s="238" t="s">
        <v>1946</v>
      </c>
      <c r="H278" s="333" t="s">
        <v>2124</v>
      </c>
      <c r="I278" s="776"/>
      <c r="J278" s="169" t="s">
        <v>1449</v>
      </c>
      <c r="K278" s="167">
        <v>4</v>
      </c>
      <c r="L278" s="453">
        <f>(E$266*E$268*M278)/1000000</f>
        <v>0.112</v>
      </c>
      <c r="M278" s="345">
        <v>16</v>
      </c>
      <c r="N278"/>
      <c r="O278" s="2"/>
      <c r="P278"/>
      <c r="Q278" s="2"/>
      <c r="R278"/>
      <c r="S278" s="2"/>
      <c r="U278" s="10"/>
      <c r="Y278"/>
      <c r="Z278"/>
      <c r="AA278"/>
      <c r="AB278"/>
      <c r="AC278"/>
      <c r="AD278"/>
      <c r="AE278"/>
      <c r="AF278"/>
    </row>
    <row r="279" spans="2:32" s="4" customFormat="1" ht="24" hidden="1" customHeight="1" outlineLevel="1">
      <c r="B279" s="781"/>
      <c r="C279" s="782"/>
      <c r="D279" s="782"/>
      <c r="E279" s="782"/>
      <c r="F279" s="783"/>
      <c r="G279" s="238" t="s">
        <v>1947</v>
      </c>
      <c r="H279" s="333" t="s">
        <v>2124</v>
      </c>
      <c r="I279" s="776"/>
      <c r="J279" s="169" t="s">
        <v>1449</v>
      </c>
      <c r="K279" s="167">
        <v>4</v>
      </c>
      <c r="L279" s="453">
        <f t="shared" ref="L279:L280" si="28">(E$266*E$268*M279)/1000000</f>
        <v>4.2000000000000003E-2</v>
      </c>
      <c r="M279" s="345">
        <v>6</v>
      </c>
      <c r="N279"/>
      <c r="O279" s="2"/>
      <c r="P279"/>
      <c r="Q279" s="2"/>
      <c r="R279"/>
      <c r="S279" s="2"/>
      <c r="U279" s="10"/>
      <c r="Y279"/>
      <c r="Z279"/>
      <c r="AA279"/>
      <c r="AB279"/>
      <c r="AC279"/>
      <c r="AD279"/>
      <c r="AE279"/>
      <c r="AF279"/>
    </row>
    <row r="280" spans="2:32" s="4" customFormat="1" ht="24" hidden="1" customHeight="1" outlineLevel="1">
      <c r="B280" s="781"/>
      <c r="C280" s="782"/>
      <c r="D280" s="782"/>
      <c r="E280" s="782"/>
      <c r="F280" s="783"/>
      <c r="G280" s="238" t="s">
        <v>2036</v>
      </c>
      <c r="H280" s="333" t="s">
        <v>2124</v>
      </c>
      <c r="I280" s="776"/>
      <c r="J280" s="169" t="s">
        <v>1449</v>
      </c>
      <c r="K280" s="167">
        <v>3</v>
      </c>
      <c r="L280" s="453">
        <f t="shared" si="28"/>
        <v>0.112</v>
      </c>
      <c r="M280" s="345">
        <v>16</v>
      </c>
      <c r="N280"/>
      <c r="O280" s="2"/>
      <c r="P280"/>
      <c r="Q280" s="2"/>
      <c r="R280"/>
      <c r="S280" s="2"/>
      <c r="U280" s="10"/>
      <c r="Y280"/>
      <c r="Z280"/>
      <c r="AA280"/>
      <c r="AB280"/>
      <c r="AC280"/>
      <c r="AD280"/>
      <c r="AE280"/>
      <c r="AF280"/>
    </row>
    <row r="281" spans="2:32" s="4" customFormat="1" ht="24" hidden="1" customHeight="1" outlineLevel="1">
      <c r="B281" s="773"/>
      <c r="C281" s="774"/>
      <c r="D281" s="774"/>
      <c r="E281" s="774"/>
      <c r="F281" s="775"/>
      <c r="G281" s="271"/>
      <c r="H281" s="333" t="s">
        <v>2124</v>
      </c>
      <c r="I281" s="776"/>
      <c r="J281" s="169" t="s">
        <v>1449</v>
      </c>
      <c r="K281" s="167">
        <v>3</v>
      </c>
      <c r="L281" s="453">
        <f>(E$266*E$268*M281)/1000000</f>
        <v>0</v>
      </c>
      <c r="M281" s="345">
        <v>0</v>
      </c>
      <c r="N281"/>
      <c r="O281" s="2"/>
      <c r="P281"/>
      <c r="Q281" s="2"/>
      <c r="R281"/>
      <c r="S281" s="2"/>
      <c r="U281" s="10"/>
      <c r="Y281"/>
      <c r="Z281"/>
      <c r="AA281"/>
      <c r="AB281"/>
      <c r="AC281"/>
      <c r="AD281"/>
      <c r="AE281"/>
      <c r="AF281"/>
    </row>
    <row r="282" spans="2:32" s="4" customFormat="1" ht="24" hidden="1" customHeight="1" outlineLevel="1">
      <c r="B282" s="773"/>
      <c r="C282" s="774"/>
      <c r="D282" s="774"/>
      <c r="E282" s="774"/>
      <c r="F282" s="775"/>
      <c r="G282" s="272"/>
      <c r="H282" s="333" t="s">
        <v>2124</v>
      </c>
      <c r="I282" s="776"/>
      <c r="J282" s="169" t="s">
        <v>1449</v>
      </c>
      <c r="K282" s="167">
        <v>3</v>
      </c>
      <c r="L282" s="453">
        <f t="shared" ref="L282:L283" si="29">(E$266*E$268*M282)/1000000</f>
        <v>0</v>
      </c>
      <c r="M282" s="345">
        <v>0</v>
      </c>
      <c r="N282"/>
      <c r="O282" s="2"/>
      <c r="P282"/>
      <c r="Q282" s="2"/>
      <c r="R282"/>
      <c r="S282" s="2"/>
      <c r="U282" s="10"/>
      <c r="Y282"/>
      <c r="Z282"/>
      <c r="AA282"/>
      <c r="AB282"/>
      <c r="AC282"/>
      <c r="AD282"/>
      <c r="AE282"/>
      <c r="AF282"/>
    </row>
    <row r="283" spans="2:32" s="4" customFormat="1" ht="24" hidden="1" customHeight="1" outlineLevel="1" thickBot="1">
      <c r="B283" s="773"/>
      <c r="C283" s="774"/>
      <c r="D283" s="774"/>
      <c r="E283" s="774"/>
      <c r="F283" s="775"/>
      <c r="G283" s="459"/>
      <c r="H283" s="333" t="s">
        <v>2124</v>
      </c>
      <c r="I283" s="777"/>
      <c r="J283" s="169" t="s">
        <v>1449</v>
      </c>
      <c r="K283" s="167">
        <v>3</v>
      </c>
      <c r="L283" s="453">
        <f t="shared" si="29"/>
        <v>0</v>
      </c>
      <c r="M283" s="345">
        <v>0</v>
      </c>
      <c r="N283"/>
      <c r="O283" s="2"/>
      <c r="P283"/>
      <c r="Q283" s="2"/>
      <c r="R283"/>
      <c r="S283" s="2"/>
      <c r="U283" s="10"/>
      <c r="Y283"/>
      <c r="Z283"/>
      <c r="AA283"/>
      <c r="AB283"/>
      <c r="AC283"/>
      <c r="AD283"/>
      <c r="AE283"/>
      <c r="AF283"/>
    </row>
    <row r="284" spans="2:32" ht="15" customHeight="1" collapsed="1" thickBot="1">
      <c r="B284" s="163" t="s">
        <v>46</v>
      </c>
      <c r="C284" s="163"/>
      <c r="D284" s="163"/>
      <c r="E284" s="163"/>
      <c r="F284" s="163"/>
      <c r="G284" s="165"/>
      <c r="H284" s="12"/>
      <c r="I284" s="12"/>
      <c r="J284" s="12"/>
      <c r="K284" s="12"/>
      <c r="L284" s="370"/>
      <c r="M284" s="370"/>
      <c r="O284"/>
      <c r="P284"/>
      <c r="Q284" s="2"/>
      <c r="R284"/>
      <c r="S284" s="2"/>
      <c r="U284" s="10"/>
      <c r="V284" s="4"/>
      <c r="W284" s="4"/>
      <c r="X284" s="4"/>
    </row>
    <row r="285" spans="2:32" ht="28" customHeight="1" thickBot="1">
      <c r="B285" s="765" t="str">
        <f>B$2</f>
        <v>Damage Assessments for Sustainable Reconstruction in Ukraine</v>
      </c>
      <c r="C285" s="766"/>
      <c r="D285" s="766"/>
      <c r="E285" s="766"/>
      <c r="F285" s="766"/>
      <c r="G285" s="766"/>
      <c r="H285" s="766"/>
      <c r="I285" s="784" t="str">
        <f>I$2</f>
        <v>Irpin Urban Area</v>
      </c>
      <c r="J285" s="785"/>
      <c r="K285" s="786"/>
      <c r="L285" s="371" t="str">
        <f>L$74</f>
        <v>27Jan23</v>
      </c>
      <c r="M285" s="164">
        <v>14</v>
      </c>
      <c r="P285"/>
      <c r="Q285" s="2"/>
      <c r="R285"/>
      <c r="S285" s="2"/>
      <c r="T285"/>
      <c r="V285" s="4"/>
      <c r="W285" s="4"/>
      <c r="X285" s="4"/>
    </row>
    <row r="286" spans="2:32" ht="27" customHeight="1">
      <c r="B286" s="938" t="str">
        <f>Languages!$C$185&amp;" 10"</f>
        <v>Public utilities and services 10</v>
      </c>
      <c r="C286" s="939"/>
      <c r="D286" s="787" t="str">
        <f>Languages!$N$176</f>
        <v>Information on main asset &amp; sub-assets</v>
      </c>
      <c r="E286" s="788" t="str">
        <f>Languages!$I$188</f>
        <v>Area and/or quantity assessed</v>
      </c>
      <c r="F286" s="789"/>
      <c r="G286" s="792" t="str">
        <f>Languages!$M$194</f>
        <v>Enter info on type and area / quantity of assets, type and extent of damage.</v>
      </c>
      <c r="H286" s="809"/>
      <c r="I286" s="796" t="s">
        <v>2118</v>
      </c>
      <c r="J286" s="798" t="str">
        <f>Languages!$K$177</f>
        <v>Approx. repair costs, priority 4 &amp; 5 assets, m. Euro</v>
      </c>
      <c r="K286" s="799"/>
      <c r="L286" s="372">
        <f>IF(K290&gt;3,L291)+IF(K299&gt;3,L300)</f>
        <v>76</v>
      </c>
      <c r="M286" s="368" t="s">
        <v>1966</v>
      </c>
      <c r="P286"/>
      <c r="Q286" s="2"/>
      <c r="R286"/>
      <c r="S286" s="2"/>
      <c r="T286"/>
      <c r="V286" s="4"/>
      <c r="W286" s="4"/>
      <c r="X286" s="4"/>
    </row>
    <row r="287" spans="2:32" ht="27" customHeight="1">
      <c r="B287" s="940"/>
      <c r="C287" s="941"/>
      <c r="D287" s="768"/>
      <c r="E287" s="790"/>
      <c r="F287" s="791"/>
      <c r="G287" s="794"/>
      <c r="H287" s="810"/>
      <c r="I287" s="797"/>
      <c r="J287" s="800" t="str">
        <f>Languages!$K$176</f>
        <v>Approx. total repair costs, m. Euro</v>
      </c>
      <c r="K287" s="801"/>
      <c r="L287" s="373">
        <f>L291+L300</f>
        <v>76</v>
      </c>
      <c r="M287" s="369" t="s">
        <v>1966</v>
      </c>
      <c r="P287"/>
      <c r="Q287" s="2"/>
      <c r="R287"/>
      <c r="S287" s="2"/>
      <c r="U287" s="10"/>
      <c r="V287" s="4"/>
      <c r="W287" s="4"/>
      <c r="X287" s="4"/>
    </row>
    <row r="288" spans="2:32" ht="21" customHeight="1">
      <c r="B288" s="940"/>
      <c r="C288" s="941"/>
      <c r="D288" s="768"/>
      <c r="E288" s="802" t="s">
        <v>1546</v>
      </c>
      <c r="F288" s="804" t="str">
        <f>Languages!$N$178</f>
        <v>Unit type</v>
      </c>
      <c r="G288" s="769" t="str">
        <f>G$77</f>
        <v>Asset or Component</v>
      </c>
      <c r="H288" s="767" t="s">
        <v>2251</v>
      </c>
      <c r="I288" s="331" t="s">
        <v>2117</v>
      </c>
      <c r="J288" s="771" t="str">
        <f>Languages!$K$178</f>
        <v>Actions</v>
      </c>
      <c r="K288" s="772"/>
      <c r="L288" s="763" t="s">
        <v>1550</v>
      </c>
      <c r="M288" s="764"/>
      <c r="P288"/>
      <c r="Q288" s="2"/>
      <c r="R288"/>
      <c r="S288" s="2"/>
      <c r="U288" s="10"/>
      <c r="V288" s="4"/>
      <c r="W288" s="4"/>
      <c r="X288" s="4"/>
    </row>
    <row r="289" spans="2:32" s="4" customFormat="1" ht="24" customHeight="1" thickBot="1">
      <c r="B289" s="940"/>
      <c r="C289" s="941"/>
      <c r="D289" s="768"/>
      <c r="E289" s="803"/>
      <c r="F289" s="805"/>
      <c r="G289" s="770"/>
      <c r="H289" s="768"/>
      <c r="I289" s="330" t="str">
        <f>Languages!$E$190</f>
        <v>Social Impact level</v>
      </c>
      <c r="J289" s="492" t="str">
        <f>Languages!$K$185</f>
        <v>Action required</v>
      </c>
      <c r="K289" s="504" t="str">
        <f>Languages!$G$193</f>
        <v>Priority 
1 - 5</v>
      </c>
      <c r="L289" s="541" t="s">
        <v>1551</v>
      </c>
      <c r="M289" s="543" t="s">
        <v>1774</v>
      </c>
      <c r="N289"/>
      <c r="P289"/>
      <c r="R289"/>
      <c r="S289" s="2"/>
      <c r="U289" s="10"/>
      <c r="Y289"/>
      <c r="Z289"/>
      <c r="AA289"/>
      <c r="AB289"/>
      <c r="AC289"/>
      <c r="AD289"/>
      <c r="AE289"/>
      <c r="AF289"/>
    </row>
    <row r="290" spans="2:32" ht="27" customHeight="1">
      <c r="B290" s="739" t="str">
        <f>Languages!$C$235&amp;" network"</f>
        <v>Sanitary sewer network</v>
      </c>
      <c r="C290" s="740"/>
      <c r="D290" s="553" t="s">
        <v>2178</v>
      </c>
      <c r="E290" s="860">
        <v>30</v>
      </c>
      <c r="F290" s="820"/>
      <c r="G290" s="711" t="str">
        <f>G$11</f>
        <v>Asset / Component</v>
      </c>
      <c r="H290" s="734" t="s">
        <v>2123</v>
      </c>
      <c r="I290" s="545" t="s">
        <v>2103</v>
      </c>
      <c r="J290" s="711" t="s">
        <v>2212</v>
      </c>
      <c r="K290" s="807">
        <f>SUM(K293:K295)/3</f>
        <v>3.6666666666666665</v>
      </c>
      <c r="L290" s="546" t="s">
        <v>2214</v>
      </c>
      <c r="M290" s="757"/>
      <c r="P290"/>
      <c r="Q290" s="2"/>
      <c r="R290"/>
      <c r="S290"/>
      <c r="T290"/>
    </row>
    <row r="291" spans="2:32" ht="22" customHeight="1" thickBot="1">
      <c r="B291" s="741"/>
      <c r="C291" s="742"/>
      <c r="D291" s="569" t="str">
        <f>D$243</f>
        <v>Aggregate volume</v>
      </c>
      <c r="E291" s="759">
        <f>E290*E292</f>
        <v>180000</v>
      </c>
      <c r="F291" s="760"/>
      <c r="G291" s="806"/>
      <c r="H291" s="914"/>
      <c r="I291" s="567" t="s">
        <v>2120</v>
      </c>
      <c r="J291" s="806"/>
      <c r="K291" s="808"/>
      <c r="L291" s="570">
        <f>SUM(M293:M295)</f>
        <v>38</v>
      </c>
      <c r="M291" s="758"/>
      <c r="P291"/>
      <c r="Q291" s="2"/>
      <c r="R291"/>
      <c r="S291"/>
      <c r="T291"/>
    </row>
    <row r="292" spans="2:32" s="4" customFormat="1" ht="24" hidden="1" customHeight="1" outlineLevel="1">
      <c r="B292" s="475"/>
      <c r="C292" s="476"/>
      <c r="D292" s="554" t="s">
        <v>1560</v>
      </c>
      <c r="E292" s="562">
        <v>6000</v>
      </c>
      <c r="F292" s="171"/>
      <c r="G292" s="461" t="s">
        <v>2130</v>
      </c>
      <c r="H292" s="523" t="s">
        <v>2250</v>
      </c>
      <c r="I292" s="776" t="s">
        <v>2141</v>
      </c>
      <c r="J292" s="523" t="s">
        <v>28</v>
      </c>
      <c r="K292" s="524" t="str">
        <f>Languages!$G$193</f>
        <v>Priority 
1 - 5</v>
      </c>
      <c r="L292" s="761"/>
      <c r="M292" s="762"/>
      <c r="N292"/>
      <c r="P292"/>
      <c r="R292"/>
      <c r="S292" s="2"/>
      <c r="U292" s="10"/>
      <c r="Y292"/>
      <c r="Z292"/>
      <c r="AA292"/>
      <c r="AB292"/>
      <c r="AC292"/>
      <c r="AD292"/>
      <c r="AE292"/>
      <c r="AF292"/>
    </row>
    <row r="293" spans="2:32" s="4" customFormat="1" ht="24" hidden="1" customHeight="1" outlineLevel="1">
      <c r="B293" s="778" t="s">
        <v>2219</v>
      </c>
      <c r="C293" s="779"/>
      <c r="D293" s="779"/>
      <c r="E293" s="779"/>
      <c r="F293" s="780"/>
      <c r="G293" s="238" t="s">
        <v>1946</v>
      </c>
      <c r="H293" s="333" t="s">
        <v>2124</v>
      </c>
      <c r="I293" s="776"/>
      <c r="J293" s="169" t="s">
        <v>1449</v>
      </c>
      <c r="K293" s="167">
        <v>4</v>
      </c>
      <c r="L293" s="453">
        <f>(E$290*E$292*M293)/1000000</f>
        <v>2.88</v>
      </c>
      <c r="M293" s="345">
        <v>16</v>
      </c>
      <c r="N293"/>
      <c r="O293" s="2"/>
      <c r="P293"/>
      <c r="Q293" s="2"/>
      <c r="R293"/>
      <c r="S293" s="2"/>
      <c r="U293" s="10"/>
      <c r="Y293"/>
      <c r="Z293"/>
      <c r="AA293"/>
      <c r="AB293"/>
      <c r="AC293"/>
      <c r="AD293"/>
      <c r="AE293"/>
      <c r="AF293"/>
    </row>
    <row r="294" spans="2:32" s="4" customFormat="1" ht="24" hidden="1" customHeight="1" outlineLevel="1">
      <c r="B294" s="781"/>
      <c r="C294" s="782"/>
      <c r="D294" s="782"/>
      <c r="E294" s="782"/>
      <c r="F294" s="783"/>
      <c r="G294" s="238" t="s">
        <v>1947</v>
      </c>
      <c r="H294" s="333" t="s">
        <v>2124</v>
      </c>
      <c r="I294" s="776"/>
      <c r="J294" s="169" t="s">
        <v>1449</v>
      </c>
      <c r="K294" s="167">
        <v>4</v>
      </c>
      <c r="L294" s="453">
        <f t="shared" ref="L294:L298" si="30">(E$290*E$292*M294)/1000000</f>
        <v>1.08</v>
      </c>
      <c r="M294" s="345">
        <v>6</v>
      </c>
      <c r="N294"/>
      <c r="O294" s="2"/>
      <c r="P294"/>
      <c r="Q294" s="2"/>
      <c r="R294"/>
      <c r="S294" s="2"/>
      <c r="U294" s="10"/>
      <c r="Y294"/>
      <c r="Z294"/>
      <c r="AA294"/>
      <c r="AB294"/>
      <c r="AC294"/>
      <c r="AD294"/>
      <c r="AE294"/>
      <c r="AF294"/>
    </row>
    <row r="295" spans="2:32" s="4" customFormat="1" ht="24" hidden="1" customHeight="1" outlineLevel="1">
      <c r="B295" s="781"/>
      <c r="C295" s="782"/>
      <c r="D295" s="782"/>
      <c r="E295" s="782"/>
      <c r="F295" s="783"/>
      <c r="G295" s="238" t="s">
        <v>2036</v>
      </c>
      <c r="H295" s="333" t="s">
        <v>2124</v>
      </c>
      <c r="I295" s="776"/>
      <c r="J295" s="169" t="s">
        <v>1449</v>
      </c>
      <c r="K295" s="167">
        <v>3</v>
      </c>
      <c r="L295" s="453">
        <f t="shared" si="30"/>
        <v>2.88</v>
      </c>
      <c r="M295" s="345">
        <v>16</v>
      </c>
      <c r="N295"/>
      <c r="O295" s="2"/>
      <c r="P295"/>
      <c r="Q295" s="2"/>
      <c r="R295"/>
      <c r="S295" s="2"/>
      <c r="U295" s="10"/>
      <c r="Y295"/>
      <c r="Z295"/>
      <c r="AA295"/>
      <c r="AB295"/>
      <c r="AC295"/>
      <c r="AD295"/>
      <c r="AE295"/>
      <c r="AF295"/>
    </row>
    <row r="296" spans="2:32" s="4" customFormat="1" ht="24" hidden="1" customHeight="1" outlineLevel="1">
      <c r="B296" s="773"/>
      <c r="C296" s="774"/>
      <c r="D296" s="774"/>
      <c r="E296" s="774"/>
      <c r="F296" s="775"/>
      <c r="G296" s="271"/>
      <c r="H296" s="333" t="s">
        <v>2124</v>
      </c>
      <c r="I296" s="776"/>
      <c r="J296" s="169" t="s">
        <v>1449</v>
      </c>
      <c r="K296" s="167">
        <v>3</v>
      </c>
      <c r="L296" s="453">
        <f t="shared" si="30"/>
        <v>0</v>
      </c>
      <c r="M296" s="345">
        <v>0</v>
      </c>
      <c r="N296"/>
      <c r="O296" s="2"/>
      <c r="P296"/>
      <c r="Q296" s="2"/>
      <c r="R296"/>
      <c r="S296" s="2"/>
      <c r="U296" s="10"/>
      <c r="Y296"/>
      <c r="Z296"/>
      <c r="AA296"/>
      <c r="AB296"/>
      <c r="AC296"/>
      <c r="AD296"/>
      <c r="AE296"/>
      <c r="AF296"/>
    </row>
    <row r="297" spans="2:32" s="4" customFormat="1" ht="24" hidden="1" customHeight="1" outlineLevel="1">
      <c r="B297" s="773"/>
      <c r="C297" s="774"/>
      <c r="D297" s="774"/>
      <c r="E297" s="774"/>
      <c r="F297" s="775"/>
      <c r="G297" s="272"/>
      <c r="H297" s="333" t="s">
        <v>2124</v>
      </c>
      <c r="I297" s="776"/>
      <c r="J297" s="169" t="s">
        <v>1449</v>
      </c>
      <c r="K297" s="167">
        <v>3</v>
      </c>
      <c r="L297" s="453">
        <f t="shared" si="30"/>
        <v>0</v>
      </c>
      <c r="M297" s="345">
        <v>0</v>
      </c>
      <c r="N297"/>
      <c r="O297" s="2"/>
      <c r="P297"/>
      <c r="Q297" s="2"/>
      <c r="R297"/>
      <c r="S297" s="2"/>
      <c r="U297" s="10"/>
      <c r="Y297"/>
      <c r="Z297"/>
      <c r="AA297"/>
      <c r="AB297"/>
      <c r="AC297"/>
      <c r="AD297"/>
      <c r="AE297"/>
      <c r="AF297"/>
    </row>
    <row r="298" spans="2:32" s="4" customFormat="1" ht="24" hidden="1" customHeight="1" outlineLevel="1" thickBot="1">
      <c r="B298" s="773"/>
      <c r="C298" s="774"/>
      <c r="D298" s="774"/>
      <c r="E298" s="774"/>
      <c r="F298" s="775"/>
      <c r="G298" s="459"/>
      <c r="H298" s="513" t="s">
        <v>2124</v>
      </c>
      <c r="I298" s="776"/>
      <c r="J298" s="169" t="s">
        <v>1449</v>
      </c>
      <c r="K298" s="456">
        <v>3</v>
      </c>
      <c r="L298" s="548">
        <f t="shared" si="30"/>
        <v>0</v>
      </c>
      <c r="M298" s="356">
        <v>0</v>
      </c>
      <c r="N298"/>
      <c r="O298" s="2"/>
      <c r="P298"/>
      <c r="Q298" s="2"/>
      <c r="R298"/>
      <c r="S298" s="2"/>
      <c r="U298" s="10"/>
      <c r="Y298"/>
      <c r="Z298"/>
      <c r="AA298"/>
      <c r="AB298"/>
      <c r="AC298"/>
      <c r="AD298"/>
      <c r="AE298"/>
      <c r="AF298"/>
    </row>
    <row r="299" spans="2:32" s="4" customFormat="1" ht="27" customHeight="1" collapsed="1">
      <c r="B299" s="739" t="str">
        <f>Languages!$C$227&amp;" network"</f>
        <v>Street lighting system network</v>
      </c>
      <c r="C299" s="740"/>
      <c r="D299" s="553" t="s">
        <v>2178</v>
      </c>
      <c r="E299" s="893">
        <v>2500</v>
      </c>
      <c r="F299" s="894"/>
      <c r="G299" s="711" t="str">
        <f>G$11</f>
        <v>Asset / Component</v>
      </c>
      <c r="H299" s="734" t="s">
        <v>2123</v>
      </c>
      <c r="I299" s="545" t="s">
        <v>2103</v>
      </c>
      <c r="J299" s="711" t="s">
        <v>2212</v>
      </c>
      <c r="K299" s="807">
        <f>SUM(K302:K304)/3</f>
        <v>4</v>
      </c>
      <c r="L299" s="546" t="s">
        <v>2214</v>
      </c>
      <c r="M299" s="757"/>
      <c r="N299"/>
      <c r="P299"/>
      <c r="R299"/>
      <c r="S299" s="2"/>
      <c r="U299" s="10"/>
      <c r="Y299"/>
      <c r="Z299"/>
      <c r="AA299"/>
      <c r="AB299"/>
      <c r="AC299"/>
      <c r="AD299"/>
      <c r="AE299"/>
      <c r="AF299"/>
    </row>
    <row r="300" spans="2:32" s="4" customFormat="1" ht="23" customHeight="1" thickBot="1">
      <c r="B300" s="741"/>
      <c r="C300" s="742"/>
      <c r="D300" s="569" t="str">
        <f>D$243</f>
        <v>Aggregate volume</v>
      </c>
      <c r="E300" s="759">
        <f>E299*E301</f>
        <v>300000</v>
      </c>
      <c r="F300" s="760"/>
      <c r="G300" s="806"/>
      <c r="H300" s="914"/>
      <c r="I300" s="567" t="s">
        <v>2120</v>
      </c>
      <c r="J300" s="806"/>
      <c r="K300" s="808"/>
      <c r="L300" s="570">
        <f>SUM(M302:M304)</f>
        <v>38</v>
      </c>
      <c r="M300" s="758"/>
      <c r="N300"/>
      <c r="P300"/>
      <c r="R300"/>
      <c r="S300" s="2"/>
      <c r="U300" s="10"/>
      <c r="Y300"/>
      <c r="Z300"/>
      <c r="AA300"/>
      <c r="AB300"/>
      <c r="AC300"/>
      <c r="AD300"/>
      <c r="AE300"/>
      <c r="AF300"/>
    </row>
    <row r="301" spans="2:32" s="4" customFormat="1" ht="24" hidden="1" customHeight="1" outlineLevel="1">
      <c r="B301" s="475"/>
      <c r="C301" s="476"/>
      <c r="D301" s="563" t="s">
        <v>2220</v>
      </c>
      <c r="E301" s="562">
        <v>120</v>
      </c>
      <c r="F301" s="171"/>
      <c r="G301" s="461" t="s">
        <v>2130</v>
      </c>
      <c r="H301" s="523" t="s">
        <v>2250</v>
      </c>
      <c r="I301" s="324"/>
      <c r="J301" s="523" t="s">
        <v>28</v>
      </c>
      <c r="K301" s="524" t="str">
        <f>Languages!$G$193</f>
        <v>Priority 
1 - 5</v>
      </c>
      <c r="L301" s="761"/>
      <c r="M301" s="762"/>
      <c r="N301"/>
      <c r="P301"/>
      <c r="R301"/>
      <c r="S301" s="2"/>
      <c r="U301" s="10"/>
      <c r="Y301"/>
      <c r="Z301"/>
      <c r="AA301"/>
      <c r="AB301"/>
      <c r="AC301"/>
      <c r="AD301"/>
      <c r="AE301"/>
      <c r="AF301"/>
    </row>
    <row r="302" spans="2:32" s="4" customFormat="1" ht="24" hidden="1" customHeight="1" outlineLevel="1">
      <c r="B302" s="778" t="s">
        <v>2221</v>
      </c>
      <c r="C302" s="779"/>
      <c r="D302" s="779"/>
      <c r="E302" s="779"/>
      <c r="F302" s="780"/>
      <c r="G302" s="238" t="s">
        <v>1946</v>
      </c>
      <c r="H302" s="333" t="s">
        <v>2124</v>
      </c>
      <c r="I302" s="776" t="s">
        <v>2141</v>
      </c>
      <c r="J302" s="169" t="s">
        <v>1449</v>
      </c>
      <c r="K302" s="167">
        <v>4</v>
      </c>
      <c r="L302" s="453">
        <f>(E$299*E$301*M302)/1000000</f>
        <v>4.8</v>
      </c>
      <c r="M302" s="345">
        <v>16</v>
      </c>
      <c r="N302"/>
      <c r="P302"/>
      <c r="R302"/>
      <c r="S302" s="2"/>
      <c r="U302" s="10"/>
      <c r="Y302"/>
      <c r="Z302"/>
      <c r="AA302"/>
      <c r="AB302"/>
      <c r="AC302"/>
      <c r="AD302"/>
      <c r="AE302"/>
      <c r="AF302"/>
    </row>
    <row r="303" spans="2:32" s="4" customFormat="1" ht="24" hidden="1" customHeight="1" outlineLevel="1">
      <c r="B303" s="781"/>
      <c r="C303" s="782"/>
      <c r="D303" s="782"/>
      <c r="E303" s="782"/>
      <c r="F303" s="783"/>
      <c r="G303" s="238" t="s">
        <v>1947</v>
      </c>
      <c r="H303" s="333" t="s">
        <v>2124</v>
      </c>
      <c r="I303" s="776"/>
      <c r="J303" s="169" t="s">
        <v>1449</v>
      </c>
      <c r="K303" s="167">
        <v>4</v>
      </c>
      <c r="L303" s="453">
        <f t="shared" ref="L303:L307" si="31">(E$299*E$301*M303)/1000000</f>
        <v>1.8</v>
      </c>
      <c r="M303" s="345">
        <v>6</v>
      </c>
      <c r="N303"/>
      <c r="P303"/>
      <c r="R303"/>
      <c r="S303" s="2"/>
      <c r="U303" s="10"/>
      <c r="Y303"/>
      <c r="Z303"/>
      <c r="AA303"/>
      <c r="AB303"/>
      <c r="AC303"/>
      <c r="AD303"/>
      <c r="AE303"/>
      <c r="AF303"/>
    </row>
    <row r="304" spans="2:32" s="4" customFormat="1" ht="24" hidden="1" customHeight="1" outlineLevel="1">
      <c r="B304" s="781"/>
      <c r="C304" s="782"/>
      <c r="D304" s="782"/>
      <c r="E304" s="782"/>
      <c r="F304" s="783"/>
      <c r="G304" s="238" t="s">
        <v>2036</v>
      </c>
      <c r="H304" s="333" t="s">
        <v>2124</v>
      </c>
      <c r="I304" s="776"/>
      <c r="J304" s="169" t="s">
        <v>1449</v>
      </c>
      <c r="K304" s="167">
        <v>4</v>
      </c>
      <c r="L304" s="453">
        <f t="shared" si="31"/>
        <v>4.8</v>
      </c>
      <c r="M304" s="345">
        <v>16</v>
      </c>
      <c r="N304"/>
      <c r="P304"/>
      <c r="R304"/>
      <c r="S304" s="2"/>
      <c r="U304" s="10"/>
      <c r="Y304"/>
      <c r="Z304"/>
      <c r="AA304"/>
      <c r="AB304"/>
      <c r="AC304"/>
      <c r="AD304"/>
      <c r="AE304"/>
      <c r="AF304"/>
    </row>
    <row r="305" spans="2:32" s="4" customFormat="1" ht="24" hidden="1" customHeight="1" outlineLevel="1">
      <c r="B305" s="773"/>
      <c r="C305" s="774"/>
      <c r="D305" s="774"/>
      <c r="E305" s="774"/>
      <c r="F305" s="775"/>
      <c r="G305" s="271"/>
      <c r="H305" s="333" t="s">
        <v>2124</v>
      </c>
      <c r="I305" s="776"/>
      <c r="J305" s="169" t="s">
        <v>1449</v>
      </c>
      <c r="K305" s="167">
        <v>3</v>
      </c>
      <c r="L305" s="453">
        <f t="shared" si="31"/>
        <v>0</v>
      </c>
      <c r="M305" s="345">
        <v>0</v>
      </c>
      <c r="N305"/>
      <c r="O305" s="2"/>
      <c r="P305"/>
      <c r="Q305" s="2"/>
      <c r="R305"/>
      <c r="S305" s="2"/>
      <c r="U305" s="10"/>
      <c r="Y305"/>
      <c r="Z305"/>
      <c r="AA305"/>
      <c r="AB305"/>
      <c r="AC305"/>
      <c r="AD305"/>
      <c r="AE305"/>
      <c r="AF305"/>
    </row>
    <row r="306" spans="2:32" s="4" customFormat="1" ht="24" hidden="1" customHeight="1" outlineLevel="1">
      <c r="B306" s="773"/>
      <c r="C306" s="774"/>
      <c r="D306" s="774"/>
      <c r="E306" s="774"/>
      <c r="F306" s="775"/>
      <c r="G306" s="272"/>
      <c r="H306" s="333" t="s">
        <v>2124</v>
      </c>
      <c r="I306" s="776"/>
      <c r="J306" s="169" t="s">
        <v>1449</v>
      </c>
      <c r="K306" s="167">
        <v>3</v>
      </c>
      <c r="L306" s="453">
        <f t="shared" si="31"/>
        <v>0</v>
      </c>
      <c r="M306" s="345">
        <v>0</v>
      </c>
      <c r="N306"/>
      <c r="O306" s="2"/>
      <c r="P306"/>
      <c r="Q306" s="2"/>
      <c r="R306"/>
      <c r="S306" s="2"/>
      <c r="U306" s="10"/>
      <c r="Y306"/>
      <c r="Z306"/>
      <c r="AA306"/>
      <c r="AB306"/>
      <c r="AC306"/>
      <c r="AD306"/>
      <c r="AE306"/>
      <c r="AF306"/>
    </row>
    <row r="307" spans="2:32" s="4" customFormat="1" ht="24" hidden="1" customHeight="1" outlineLevel="1" thickBot="1">
      <c r="B307" s="773"/>
      <c r="C307" s="774"/>
      <c r="D307" s="774"/>
      <c r="E307" s="774"/>
      <c r="F307" s="775"/>
      <c r="G307" s="272"/>
      <c r="H307" s="333" t="s">
        <v>2124</v>
      </c>
      <c r="I307" s="777"/>
      <c r="J307" s="169" t="s">
        <v>1449</v>
      </c>
      <c r="K307" s="167">
        <v>3</v>
      </c>
      <c r="L307" s="453">
        <f t="shared" si="31"/>
        <v>0</v>
      </c>
      <c r="M307" s="345">
        <v>0</v>
      </c>
      <c r="N307"/>
      <c r="O307" s="2"/>
      <c r="P307"/>
      <c r="Q307" s="2"/>
      <c r="R307"/>
      <c r="S307" s="2"/>
      <c r="U307" s="10"/>
      <c r="Y307"/>
      <c r="Z307"/>
      <c r="AA307"/>
      <c r="AB307"/>
      <c r="AC307"/>
      <c r="AD307"/>
      <c r="AE307"/>
      <c r="AF307"/>
    </row>
    <row r="308" spans="2:32" ht="15" customHeight="1" collapsed="1" thickBot="1">
      <c r="B308" s="163" t="s">
        <v>46</v>
      </c>
      <c r="C308" s="163"/>
      <c r="D308" s="163"/>
      <c r="E308" s="163"/>
      <c r="F308" s="163"/>
      <c r="G308" s="165"/>
      <c r="H308" s="12"/>
      <c r="I308" s="12"/>
      <c r="J308" s="12"/>
      <c r="K308" s="12"/>
      <c r="L308" s="370"/>
      <c r="M308" s="370"/>
      <c r="O308"/>
      <c r="P308"/>
      <c r="Q308" s="2"/>
      <c r="R308"/>
      <c r="S308" s="2"/>
      <c r="U308" s="10"/>
      <c r="V308" s="4"/>
      <c r="W308" s="4"/>
      <c r="X308" s="4"/>
    </row>
    <row r="309" spans="2:32" ht="28" customHeight="1" thickBot="1">
      <c r="B309" s="765" t="str">
        <f>B$2</f>
        <v>Damage Assessments for Sustainable Reconstruction in Ukraine</v>
      </c>
      <c r="C309" s="766"/>
      <c r="D309" s="766"/>
      <c r="E309" s="766"/>
      <c r="F309" s="766"/>
      <c r="G309" s="766"/>
      <c r="H309" s="766"/>
      <c r="I309" s="784" t="str">
        <f>I$2</f>
        <v>Irpin Urban Area</v>
      </c>
      <c r="J309" s="785"/>
      <c r="K309" s="786"/>
      <c r="L309" s="371" t="str">
        <f>L$74</f>
        <v>27Jan23</v>
      </c>
      <c r="M309" s="164">
        <v>15</v>
      </c>
      <c r="P309"/>
      <c r="Q309" s="2"/>
      <c r="R309"/>
      <c r="S309" s="2"/>
      <c r="T309"/>
      <c r="V309" s="4"/>
      <c r="W309" s="4"/>
      <c r="X309" s="4"/>
    </row>
    <row r="310" spans="2:32" ht="27" customHeight="1">
      <c r="B310" s="938" t="str">
        <f>Languages!$C$185&amp;" 11"</f>
        <v>Public utilities and services 11</v>
      </c>
      <c r="C310" s="939"/>
      <c r="D310" s="787" t="str">
        <f>Languages!$N$176</f>
        <v>Information on main asset &amp; sub-assets</v>
      </c>
      <c r="E310" s="788" t="str">
        <f>Languages!$I$188</f>
        <v>Area and/or quantity assessed</v>
      </c>
      <c r="F310" s="789"/>
      <c r="G310" s="792" t="str">
        <f>Languages!$M$194</f>
        <v>Enter info on type and area / quantity of assets, type and extent of damage.</v>
      </c>
      <c r="H310" s="793"/>
      <c r="I310" s="796" t="s">
        <v>2118</v>
      </c>
      <c r="J310" s="798" t="str">
        <f>Languages!$K$177</f>
        <v>Approx. repair costs, priority 4 &amp; 5 assets, m. Euro</v>
      </c>
      <c r="K310" s="799"/>
      <c r="L310" s="372">
        <f>IF(K314&gt;3,L315)+IF(K323&gt;3,L324)</f>
        <v>38</v>
      </c>
      <c r="M310" s="368" t="s">
        <v>1966</v>
      </c>
      <c r="P310"/>
      <c r="Q310" s="2"/>
      <c r="R310"/>
      <c r="S310" s="2"/>
      <c r="T310"/>
      <c r="V310" s="4"/>
      <c r="W310" s="4"/>
      <c r="X310" s="4"/>
    </row>
    <row r="311" spans="2:32" ht="27" customHeight="1">
      <c r="B311" s="940"/>
      <c r="C311" s="941"/>
      <c r="D311" s="768"/>
      <c r="E311" s="790"/>
      <c r="F311" s="791"/>
      <c r="G311" s="794"/>
      <c r="H311" s="795"/>
      <c r="I311" s="797"/>
      <c r="J311" s="800" t="str">
        <f>Languages!$K$176</f>
        <v>Approx. total repair costs, m. Euro</v>
      </c>
      <c r="K311" s="801"/>
      <c r="L311" s="373">
        <f>(L315+L324)</f>
        <v>76</v>
      </c>
      <c r="M311" s="369" t="s">
        <v>1966</v>
      </c>
      <c r="P311"/>
      <c r="Q311" s="2"/>
      <c r="R311"/>
      <c r="S311" s="2"/>
      <c r="U311" s="10"/>
      <c r="V311" s="4"/>
      <c r="W311" s="4"/>
      <c r="X311" s="4"/>
    </row>
    <row r="312" spans="2:32" ht="23" customHeight="1">
      <c r="B312" s="940"/>
      <c r="C312" s="941"/>
      <c r="D312" s="768"/>
      <c r="E312" s="802" t="s">
        <v>1546</v>
      </c>
      <c r="F312" s="804" t="str">
        <f>Languages!$N$178</f>
        <v>Unit type</v>
      </c>
      <c r="G312" s="769" t="str">
        <f>G$77</f>
        <v>Asset or Component</v>
      </c>
      <c r="H312" s="767" t="s">
        <v>2251</v>
      </c>
      <c r="I312" s="331" t="s">
        <v>2117</v>
      </c>
      <c r="J312" s="771" t="str">
        <f>Languages!$K$178</f>
        <v>Actions</v>
      </c>
      <c r="K312" s="772"/>
      <c r="L312" s="763" t="s">
        <v>1550</v>
      </c>
      <c r="M312" s="764"/>
      <c r="P312"/>
      <c r="Q312" s="2"/>
      <c r="R312"/>
      <c r="S312" s="2"/>
      <c r="U312" s="10"/>
      <c r="V312" s="4"/>
      <c r="W312" s="4"/>
      <c r="X312" s="4"/>
    </row>
    <row r="313" spans="2:32" s="4" customFormat="1" ht="27" customHeight="1" thickBot="1">
      <c r="B313" s="940"/>
      <c r="C313" s="941"/>
      <c r="D313" s="768"/>
      <c r="E313" s="803"/>
      <c r="F313" s="805"/>
      <c r="G313" s="770"/>
      <c r="H313" s="768"/>
      <c r="I313" s="330" t="str">
        <f>Languages!$E$190</f>
        <v>Social Impact level</v>
      </c>
      <c r="J313" s="492" t="str">
        <f>Languages!$K$185</f>
        <v>Action required</v>
      </c>
      <c r="K313" s="504" t="str">
        <f>Languages!$G$193</f>
        <v>Priority 
1 - 5</v>
      </c>
      <c r="L313" s="541" t="s">
        <v>1551</v>
      </c>
      <c r="M313" s="543" t="s">
        <v>1774</v>
      </c>
      <c r="N313"/>
      <c r="P313"/>
      <c r="R313"/>
      <c r="S313" s="2"/>
      <c r="U313" s="10"/>
      <c r="Y313"/>
      <c r="Z313"/>
      <c r="AA313"/>
      <c r="AB313"/>
      <c r="AC313"/>
      <c r="AD313"/>
      <c r="AE313"/>
      <c r="AF313"/>
    </row>
    <row r="314" spans="2:32" s="4" customFormat="1" ht="27" customHeight="1">
      <c r="B314" s="739" t="str">
        <f>Languages!$C$236&amp;" network"</f>
        <v>Gas pumping and distribution network</v>
      </c>
      <c r="C314" s="740"/>
      <c r="D314" s="549" t="s">
        <v>2178</v>
      </c>
      <c r="E314" s="819">
        <v>100</v>
      </c>
      <c r="F314" s="820"/>
      <c r="G314" s="711" t="str">
        <f>G$11</f>
        <v>Asset / Component</v>
      </c>
      <c r="H314" s="734" t="s">
        <v>2123</v>
      </c>
      <c r="I314" s="545" t="s">
        <v>2103</v>
      </c>
      <c r="J314" s="711" t="s">
        <v>2212</v>
      </c>
      <c r="K314" s="807">
        <f>SUM(K317:K319)/3</f>
        <v>4.333333333333333</v>
      </c>
      <c r="L314" s="546" t="s">
        <v>2214</v>
      </c>
      <c r="M314" s="757"/>
      <c r="N314"/>
      <c r="P314"/>
      <c r="R314"/>
      <c r="S314" s="2"/>
      <c r="U314" s="10"/>
      <c r="Y314"/>
      <c r="Z314"/>
      <c r="AA314"/>
      <c r="AB314"/>
      <c r="AC314"/>
      <c r="AD314"/>
      <c r="AE314"/>
      <c r="AF314"/>
    </row>
    <row r="315" spans="2:32" s="4" customFormat="1" ht="23" customHeight="1" thickBot="1">
      <c r="B315" s="741"/>
      <c r="C315" s="742"/>
      <c r="D315" s="571" t="str">
        <f>D$243</f>
        <v>Aggregate volume</v>
      </c>
      <c r="E315" s="821">
        <f>E314*E316</f>
        <v>11000</v>
      </c>
      <c r="F315" s="760"/>
      <c r="G315" s="806"/>
      <c r="H315" s="914"/>
      <c r="I315" s="567" t="s">
        <v>2120</v>
      </c>
      <c r="J315" s="806"/>
      <c r="K315" s="808"/>
      <c r="L315" s="570">
        <f>SUM(M317:M319)</f>
        <v>38</v>
      </c>
      <c r="M315" s="758"/>
      <c r="N315"/>
      <c r="P315"/>
      <c r="R315"/>
      <c r="S315" s="2"/>
      <c r="U315" s="10"/>
      <c r="Y315"/>
      <c r="Z315"/>
      <c r="AA315"/>
      <c r="AB315"/>
      <c r="AC315"/>
      <c r="AD315"/>
      <c r="AE315"/>
      <c r="AF315"/>
    </row>
    <row r="316" spans="2:32" s="4" customFormat="1" ht="24" hidden="1" customHeight="1" outlineLevel="1">
      <c r="B316" s="475"/>
      <c r="C316" s="476"/>
      <c r="D316" s="551" t="s">
        <v>1560</v>
      </c>
      <c r="E316" s="336">
        <v>110</v>
      </c>
      <c r="F316" s="339" t="s">
        <v>1564</v>
      </c>
      <c r="G316" s="461" t="s">
        <v>2130</v>
      </c>
      <c r="H316" s="523" t="s">
        <v>2250</v>
      </c>
      <c r="I316" s="324"/>
      <c r="J316" s="523" t="s">
        <v>28</v>
      </c>
      <c r="K316" s="524" t="str">
        <f>Languages!$G$193</f>
        <v>Priority 
1 - 5</v>
      </c>
      <c r="L316" s="761"/>
      <c r="M316" s="762"/>
      <c r="N316"/>
      <c r="P316"/>
      <c r="R316"/>
      <c r="S316" s="2"/>
      <c r="U316" s="10"/>
      <c r="Y316"/>
      <c r="Z316"/>
      <c r="AA316"/>
      <c r="AB316"/>
      <c r="AC316"/>
      <c r="AD316"/>
      <c r="AE316"/>
      <c r="AF316"/>
    </row>
    <row r="317" spans="2:32" s="4" customFormat="1" ht="24" hidden="1" customHeight="1" outlineLevel="1">
      <c r="B317" s="778"/>
      <c r="C317" s="779"/>
      <c r="D317" s="779"/>
      <c r="E317" s="779"/>
      <c r="F317" s="780"/>
      <c r="G317" s="238" t="s">
        <v>1946</v>
      </c>
      <c r="H317" s="333" t="s">
        <v>2124</v>
      </c>
      <c r="I317" s="776" t="s">
        <v>2141</v>
      </c>
      <c r="J317" s="169" t="s">
        <v>1449</v>
      </c>
      <c r="K317" s="167">
        <v>5</v>
      </c>
      <c r="L317" s="453">
        <f>(E$314*E$316*M317)/1000000</f>
        <v>0.17599999999999999</v>
      </c>
      <c r="M317" s="345">
        <v>16</v>
      </c>
      <c r="N317"/>
      <c r="P317"/>
      <c r="R317"/>
      <c r="S317" s="2"/>
      <c r="U317" s="10"/>
      <c r="Y317"/>
      <c r="Z317"/>
      <c r="AA317"/>
      <c r="AB317"/>
      <c r="AC317"/>
      <c r="AD317"/>
      <c r="AE317"/>
      <c r="AF317"/>
    </row>
    <row r="318" spans="2:32" s="4" customFormat="1" ht="24" hidden="1" customHeight="1" outlineLevel="1">
      <c r="B318" s="781"/>
      <c r="C318" s="782"/>
      <c r="D318" s="782"/>
      <c r="E318" s="782"/>
      <c r="F318" s="783"/>
      <c r="G318" s="238" t="s">
        <v>1947</v>
      </c>
      <c r="H318" s="333" t="s">
        <v>2124</v>
      </c>
      <c r="I318" s="776"/>
      <c r="J318" s="169" t="s">
        <v>1449</v>
      </c>
      <c r="K318" s="167">
        <v>4</v>
      </c>
      <c r="L318" s="453">
        <f t="shared" ref="L318:L322" si="32">(E$314*E$316*M318)/1000000</f>
        <v>6.6000000000000003E-2</v>
      </c>
      <c r="M318" s="345">
        <v>6</v>
      </c>
      <c r="N318"/>
      <c r="P318"/>
      <c r="R318"/>
      <c r="S318" s="2"/>
      <c r="U318" s="10"/>
      <c r="Y318"/>
      <c r="Z318"/>
      <c r="AA318"/>
      <c r="AB318"/>
      <c r="AC318"/>
      <c r="AD318"/>
      <c r="AE318"/>
      <c r="AF318"/>
    </row>
    <row r="319" spans="2:32" s="4" customFormat="1" ht="24" hidden="1" customHeight="1" outlineLevel="1">
      <c r="B319" s="781"/>
      <c r="C319" s="782"/>
      <c r="D319" s="782"/>
      <c r="E319" s="782"/>
      <c r="F319" s="783"/>
      <c r="G319" s="238" t="s">
        <v>2036</v>
      </c>
      <c r="H319" s="333" t="s">
        <v>2124</v>
      </c>
      <c r="I319" s="776"/>
      <c r="J319" s="169" t="s">
        <v>1449</v>
      </c>
      <c r="K319" s="167">
        <v>4</v>
      </c>
      <c r="L319" s="453">
        <f t="shared" si="32"/>
        <v>0.17599999999999999</v>
      </c>
      <c r="M319" s="345">
        <v>16</v>
      </c>
      <c r="N319"/>
      <c r="P319"/>
      <c r="R319"/>
      <c r="S319" s="2"/>
      <c r="U319" s="10"/>
      <c r="Y319"/>
      <c r="Z319"/>
      <c r="AA319"/>
      <c r="AB319"/>
      <c r="AC319"/>
      <c r="AD319"/>
      <c r="AE319"/>
      <c r="AF319"/>
    </row>
    <row r="320" spans="2:32" s="4" customFormat="1" ht="24" hidden="1" customHeight="1" outlineLevel="1">
      <c r="B320" s="773"/>
      <c r="C320" s="774"/>
      <c r="D320" s="774"/>
      <c r="E320" s="774"/>
      <c r="F320" s="775"/>
      <c r="G320" s="271"/>
      <c r="H320" s="333" t="s">
        <v>2124</v>
      </c>
      <c r="I320" s="776"/>
      <c r="J320" s="169" t="s">
        <v>1449</v>
      </c>
      <c r="K320" s="167"/>
      <c r="L320" s="453">
        <f t="shared" si="32"/>
        <v>0.17599999999999999</v>
      </c>
      <c r="M320" s="345">
        <v>16</v>
      </c>
      <c r="N320"/>
      <c r="O320" s="2"/>
      <c r="P320"/>
      <c r="Q320" s="2"/>
      <c r="R320"/>
      <c r="S320" s="2"/>
      <c r="U320" s="10"/>
      <c r="Y320"/>
      <c r="Z320"/>
      <c r="AA320"/>
      <c r="AB320"/>
      <c r="AC320"/>
      <c r="AD320"/>
      <c r="AE320"/>
      <c r="AF320"/>
    </row>
    <row r="321" spans="2:32" s="4" customFormat="1" ht="24" hidden="1" customHeight="1" outlineLevel="1">
      <c r="B321" s="773"/>
      <c r="C321" s="774"/>
      <c r="D321" s="774"/>
      <c r="E321" s="774"/>
      <c r="F321" s="775"/>
      <c r="G321" s="272"/>
      <c r="H321" s="333" t="s">
        <v>2124</v>
      </c>
      <c r="I321" s="776"/>
      <c r="J321" s="169" t="s">
        <v>1449</v>
      </c>
      <c r="K321" s="167"/>
      <c r="L321" s="453">
        <f t="shared" si="32"/>
        <v>6.6000000000000003E-2</v>
      </c>
      <c r="M321" s="345">
        <v>6</v>
      </c>
      <c r="N321"/>
      <c r="O321" s="2"/>
      <c r="P321"/>
      <c r="Q321" s="2"/>
      <c r="R321"/>
      <c r="S321" s="2"/>
      <c r="U321" s="10"/>
      <c r="Y321"/>
      <c r="Z321"/>
      <c r="AA321"/>
      <c r="AB321"/>
      <c r="AC321"/>
      <c r="AD321"/>
      <c r="AE321"/>
      <c r="AF321"/>
    </row>
    <row r="322" spans="2:32" s="4" customFormat="1" ht="24" hidden="1" customHeight="1" outlineLevel="1" thickBot="1">
      <c r="B322" s="773"/>
      <c r="C322" s="774"/>
      <c r="D322" s="774"/>
      <c r="E322" s="774"/>
      <c r="F322" s="775"/>
      <c r="G322" s="459"/>
      <c r="H322" s="513" t="s">
        <v>2124</v>
      </c>
      <c r="I322" s="776"/>
      <c r="J322" s="169" t="s">
        <v>1449</v>
      </c>
      <c r="K322" s="456"/>
      <c r="L322" s="548">
        <f t="shared" si="32"/>
        <v>0.17599999999999999</v>
      </c>
      <c r="M322" s="356">
        <v>16</v>
      </c>
      <c r="N322"/>
      <c r="O322" s="2"/>
      <c r="P322"/>
      <c r="Q322" s="2"/>
      <c r="R322"/>
      <c r="S322" s="2"/>
      <c r="U322" s="10"/>
      <c r="Y322"/>
      <c r="Z322"/>
      <c r="AA322"/>
      <c r="AB322"/>
      <c r="AC322"/>
      <c r="AD322"/>
      <c r="AE322"/>
      <c r="AF322"/>
    </row>
    <row r="323" spans="2:32" ht="28" customHeight="1" collapsed="1">
      <c r="B323" s="739" t="str">
        <f>Languages!$C$237&amp;" network"</f>
        <v>H2 pumping &amp; distribution network</v>
      </c>
      <c r="C323" s="740"/>
      <c r="D323" s="549" t="s">
        <v>2178</v>
      </c>
      <c r="E323" s="819">
        <v>15</v>
      </c>
      <c r="F323" s="820"/>
      <c r="G323" s="711" t="str">
        <f>G$11</f>
        <v>Asset / Component</v>
      </c>
      <c r="H323" s="734" t="s">
        <v>2123</v>
      </c>
      <c r="I323" s="545" t="s">
        <v>2103</v>
      </c>
      <c r="J323" s="711" t="s">
        <v>2212</v>
      </c>
      <c r="K323" s="807">
        <f>SUM(K326:K328)/3</f>
        <v>2.3333333333333335</v>
      </c>
      <c r="L323" s="546" t="s">
        <v>2214</v>
      </c>
      <c r="M323" s="757"/>
      <c r="P323"/>
      <c r="Q323" s="2"/>
      <c r="R323"/>
      <c r="S323"/>
      <c r="T323"/>
    </row>
    <row r="324" spans="2:32" ht="22" customHeight="1" thickBot="1">
      <c r="B324" s="741"/>
      <c r="C324" s="742"/>
      <c r="D324" s="571" t="s">
        <v>1781</v>
      </c>
      <c r="E324" s="821">
        <f>E323*E325</f>
        <v>1350</v>
      </c>
      <c r="F324" s="760"/>
      <c r="G324" s="806"/>
      <c r="H324" s="914"/>
      <c r="I324" s="567" t="s">
        <v>2120</v>
      </c>
      <c r="J324" s="806"/>
      <c r="K324" s="808"/>
      <c r="L324" s="570">
        <f>SUM(M326:M328)</f>
        <v>38</v>
      </c>
      <c r="M324" s="758"/>
      <c r="P324"/>
      <c r="Q324" s="2"/>
      <c r="R324"/>
      <c r="S324"/>
      <c r="T324"/>
    </row>
    <row r="325" spans="2:32" s="4" customFormat="1" ht="24" hidden="1" customHeight="1" outlineLevel="1">
      <c r="B325" s="475"/>
      <c r="C325" s="476"/>
      <c r="D325" s="551" t="s">
        <v>1780</v>
      </c>
      <c r="E325" s="337">
        <v>90</v>
      </c>
      <c r="F325" s="339" t="s">
        <v>1564</v>
      </c>
      <c r="G325" s="461" t="s">
        <v>2130</v>
      </c>
      <c r="H325" s="523" t="s">
        <v>2250</v>
      </c>
      <c r="I325" s="324"/>
      <c r="J325" s="523" t="s">
        <v>28</v>
      </c>
      <c r="K325" s="524" t="str">
        <f>Languages!$G$193</f>
        <v>Priority 
1 - 5</v>
      </c>
      <c r="L325" s="761"/>
      <c r="M325" s="762"/>
      <c r="N325"/>
      <c r="P325"/>
      <c r="R325"/>
      <c r="S325" s="2"/>
      <c r="U325" s="10"/>
      <c r="Y325"/>
      <c r="Z325"/>
      <c r="AA325"/>
      <c r="AB325"/>
      <c r="AC325"/>
      <c r="AD325"/>
      <c r="AE325"/>
      <c r="AF325"/>
    </row>
    <row r="326" spans="2:32" s="4" customFormat="1" ht="24" hidden="1" customHeight="1" outlineLevel="1">
      <c r="B326" s="778"/>
      <c r="C326" s="779"/>
      <c r="D326" s="779"/>
      <c r="E326" s="779"/>
      <c r="F326" s="780"/>
      <c r="G326" s="238" t="s">
        <v>1946</v>
      </c>
      <c r="H326" s="333" t="s">
        <v>2124</v>
      </c>
      <c r="I326" s="776" t="s">
        <v>2141</v>
      </c>
      <c r="J326" s="169" t="s">
        <v>1454</v>
      </c>
      <c r="K326" s="167">
        <v>2</v>
      </c>
      <c r="L326" s="453">
        <f>(E$323*E$325*M326)/1000000</f>
        <v>2.1600000000000001E-2</v>
      </c>
      <c r="M326" s="345">
        <v>16</v>
      </c>
      <c r="N326"/>
      <c r="O326" s="2"/>
      <c r="P326"/>
      <c r="Q326" s="2"/>
      <c r="R326"/>
      <c r="S326" s="2"/>
      <c r="U326" s="10"/>
      <c r="Y326"/>
      <c r="Z326"/>
      <c r="AA326"/>
      <c r="AB326"/>
      <c r="AC326"/>
      <c r="AD326"/>
      <c r="AE326"/>
      <c r="AF326"/>
    </row>
    <row r="327" spans="2:32" s="4" customFormat="1" ht="24" hidden="1" customHeight="1" outlineLevel="1">
      <c r="B327" s="781"/>
      <c r="C327" s="782"/>
      <c r="D327" s="782"/>
      <c r="E327" s="782"/>
      <c r="F327" s="783"/>
      <c r="G327" s="238" t="s">
        <v>1947</v>
      </c>
      <c r="H327" s="333" t="s">
        <v>2124</v>
      </c>
      <c r="I327" s="776"/>
      <c r="J327" s="169" t="s">
        <v>1449</v>
      </c>
      <c r="K327" s="167">
        <v>2</v>
      </c>
      <c r="L327" s="453">
        <f t="shared" ref="L327:L331" si="33">(E$323*E$325*M327)/1000000</f>
        <v>8.0999999999999996E-3</v>
      </c>
      <c r="M327" s="345">
        <v>6</v>
      </c>
      <c r="N327"/>
      <c r="O327" s="2"/>
      <c r="P327"/>
      <c r="Q327" s="2"/>
      <c r="R327"/>
      <c r="S327" s="2"/>
      <c r="U327" s="10"/>
      <c r="Y327"/>
      <c r="Z327"/>
      <c r="AA327"/>
      <c r="AB327"/>
      <c r="AC327"/>
      <c r="AD327"/>
      <c r="AE327"/>
      <c r="AF327"/>
    </row>
    <row r="328" spans="2:32" s="4" customFormat="1" ht="24" hidden="1" customHeight="1" outlineLevel="1">
      <c r="B328" s="781"/>
      <c r="C328" s="782"/>
      <c r="D328" s="782"/>
      <c r="E328" s="782"/>
      <c r="F328" s="783"/>
      <c r="G328" s="238" t="s">
        <v>2036</v>
      </c>
      <c r="H328" s="333" t="s">
        <v>2124</v>
      </c>
      <c r="I328" s="776"/>
      <c r="J328" s="169" t="s">
        <v>1449</v>
      </c>
      <c r="K328" s="167">
        <v>3</v>
      </c>
      <c r="L328" s="453">
        <f t="shared" si="33"/>
        <v>2.1600000000000001E-2</v>
      </c>
      <c r="M328" s="345">
        <v>16</v>
      </c>
      <c r="N328"/>
      <c r="O328" s="2"/>
      <c r="P328"/>
      <c r="Q328" s="2"/>
      <c r="R328"/>
      <c r="S328" s="2"/>
      <c r="U328" s="10"/>
      <c r="Y328"/>
      <c r="Z328"/>
      <c r="AA328"/>
      <c r="AB328"/>
      <c r="AC328"/>
      <c r="AD328"/>
      <c r="AE328"/>
      <c r="AF328"/>
    </row>
    <row r="329" spans="2:32" s="4" customFormat="1" ht="24" hidden="1" customHeight="1" outlineLevel="1">
      <c r="B329" s="773"/>
      <c r="C329" s="774"/>
      <c r="D329" s="774"/>
      <c r="E329" s="774"/>
      <c r="F329" s="775"/>
      <c r="G329" s="271"/>
      <c r="H329" s="333" t="s">
        <v>2124</v>
      </c>
      <c r="I329" s="776"/>
      <c r="J329" s="169" t="s">
        <v>1449</v>
      </c>
      <c r="K329" s="167"/>
      <c r="L329" s="453">
        <f t="shared" si="33"/>
        <v>2.1600000000000001E-2</v>
      </c>
      <c r="M329" s="345">
        <v>16</v>
      </c>
      <c r="N329"/>
      <c r="O329" s="2"/>
      <c r="P329"/>
      <c r="Q329" s="2"/>
      <c r="R329"/>
      <c r="S329" s="2"/>
      <c r="U329" s="10"/>
      <c r="Y329"/>
      <c r="Z329"/>
      <c r="AA329"/>
      <c r="AB329"/>
      <c r="AC329"/>
      <c r="AD329"/>
      <c r="AE329"/>
      <c r="AF329"/>
    </row>
    <row r="330" spans="2:32" s="4" customFormat="1" ht="24" hidden="1" customHeight="1" outlineLevel="1">
      <c r="B330" s="773"/>
      <c r="C330" s="774"/>
      <c r="D330" s="774"/>
      <c r="E330" s="774"/>
      <c r="F330" s="775"/>
      <c r="G330" s="272"/>
      <c r="H330" s="333" t="s">
        <v>2124</v>
      </c>
      <c r="I330" s="776"/>
      <c r="J330" s="169" t="s">
        <v>1449</v>
      </c>
      <c r="K330" s="167"/>
      <c r="L330" s="453">
        <f t="shared" si="33"/>
        <v>8.0999999999999996E-3</v>
      </c>
      <c r="M330" s="345">
        <v>6</v>
      </c>
      <c r="N330"/>
      <c r="O330" s="2"/>
      <c r="P330"/>
      <c r="Q330" s="2"/>
      <c r="R330"/>
      <c r="S330" s="2"/>
      <c r="U330" s="10"/>
      <c r="Y330"/>
      <c r="Z330"/>
      <c r="AA330"/>
      <c r="AB330"/>
      <c r="AC330"/>
      <c r="AD330"/>
      <c r="AE330"/>
      <c r="AF330"/>
    </row>
    <row r="331" spans="2:32" s="4" customFormat="1" ht="24" hidden="1" customHeight="1" outlineLevel="1" thickBot="1">
      <c r="B331" s="773"/>
      <c r="C331" s="774"/>
      <c r="D331" s="774"/>
      <c r="E331" s="774"/>
      <c r="F331" s="775"/>
      <c r="G331" s="459"/>
      <c r="H331" s="333" t="s">
        <v>2124</v>
      </c>
      <c r="I331" s="777"/>
      <c r="J331" s="169" t="s">
        <v>1449</v>
      </c>
      <c r="K331" s="167"/>
      <c r="L331" s="453">
        <f t="shared" si="33"/>
        <v>2.1600000000000001E-2</v>
      </c>
      <c r="M331" s="345">
        <v>16</v>
      </c>
      <c r="N331"/>
      <c r="O331" s="2"/>
      <c r="P331"/>
      <c r="Q331" s="2"/>
      <c r="R331"/>
      <c r="S331" s="2"/>
      <c r="U331" s="10"/>
      <c r="Y331"/>
      <c r="Z331"/>
      <c r="AA331"/>
      <c r="AB331"/>
      <c r="AC331"/>
      <c r="AD331"/>
      <c r="AE331"/>
      <c r="AF331"/>
    </row>
    <row r="332" spans="2:32" ht="15" customHeight="1" collapsed="1" thickBot="1">
      <c r="B332" s="163" t="s">
        <v>46</v>
      </c>
      <c r="C332" s="163"/>
      <c r="D332" s="163"/>
      <c r="E332" s="163"/>
      <c r="F332" s="163"/>
      <c r="G332" s="165"/>
      <c r="H332" s="12"/>
      <c r="I332" s="12"/>
      <c r="J332" s="12"/>
      <c r="K332" s="12"/>
      <c r="L332" s="370"/>
      <c r="M332" s="370"/>
      <c r="O332"/>
      <c r="P332"/>
      <c r="Q332" s="2"/>
      <c r="R332"/>
      <c r="S332" s="2"/>
      <c r="U332" s="10"/>
      <c r="V332" s="4"/>
      <c r="W332" s="4"/>
      <c r="X332" s="4"/>
    </row>
    <row r="333" spans="2:32" ht="28" customHeight="1" thickBot="1">
      <c r="B333" s="765" t="str">
        <f>B$2</f>
        <v>Damage Assessments for Sustainable Reconstruction in Ukraine</v>
      </c>
      <c r="C333" s="766"/>
      <c r="D333" s="766"/>
      <c r="E333" s="766"/>
      <c r="F333" s="766"/>
      <c r="G333" s="766"/>
      <c r="H333" s="766"/>
      <c r="I333" s="784" t="str">
        <f>I$2</f>
        <v>Irpin Urban Area</v>
      </c>
      <c r="J333" s="785"/>
      <c r="K333" s="786"/>
      <c r="L333" s="371" t="str">
        <f>L$74</f>
        <v>27Jan23</v>
      </c>
      <c r="M333" s="164">
        <v>16</v>
      </c>
      <c r="P333"/>
      <c r="Q333" s="2"/>
      <c r="R333"/>
      <c r="S333" s="2"/>
      <c r="T333"/>
      <c r="V333" s="4"/>
      <c r="W333" s="4"/>
      <c r="X333" s="4"/>
    </row>
    <row r="334" spans="2:32" ht="27" customHeight="1">
      <c r="B334" s="938" t="str">
        <f>Languages!$C$185&amp;" 12"</f>
        <v>Public utilities and services 12</v>
      </c>
      <c r="C334" s="939"/>
      <c r="D334" s="787" t="str">
        <f>Languages!$N$176</f>
        <v>Information on main asset &amp; sub-assets</v>
      </c>
      <c r="E334" s="788" t="str">
        <f>Languages!$I$188</f>
        <v>Area and/or quantity assessed</v>
      </c>
      <c r="F334" s="789"/>
      <c r="G334" s="792" t="str">
        <f>Languages!$M$194</f>
        <v>Enter info on type and area / quantity of assets, type and extent of damage.</v>
      </c>
      <c r="H334" s="793"/>
      <c r="I334" s="796" t="s">
        <v>2118</v>
      </c>
      <c r="J334" s="798" t="str">
        <f>Languages!$K$177</f>
        <v>Approx. repair costs, priority 4 &amp; 5 assets, m. Euro</v>
      </c>
      <c r="K334" s="799"/>
      <c r="L334" s="372">
        <f>IF(K338&gt;3,L339)+IF(K347&gt;3,L348)</f>
        <v>76</v>
      </c>
      <c r="M334" s="368" t="s">
        <v>1966</v>
      </c>
      <c r="P334"/>
      <c r="Q334" s="2"/>
      <c r="R334"/>
      <c r="S334" s="2"/>
      <c r="T334"/>
      <c r="V334" s="4"/>
      <c r="W334" s="4"/>
      <c r="X334" s="4"/>
    </row>
    <row r="335" spans="2:32" ht="27" customHeight="1">
      <c r="B335" s="940"/>
      <c r="C335" s="941"/>
      <c r="D335" s="768"/>
      <c r="E335" s="790"/>
      <c r="F335" s="791"/>
      <c r="G335" s="794"/>
      <c r="H335" s="795"/>
      <c r="I335" s="797"/>
      <c r="J335" s="800" t="str">
        <f>Languages!$K$176</f>
        <v>Approx. total repair costs, m. Euro</v>
      </c>
      <c r="K335" s="801"/>
      <c r="L335" s="373">
        <f>(L339+L348)</f>
        <v>76</v>
      </c>
      <c r="M335" s="369" t="s">
        <v>1966</v>
      </c>
      <c r="P335"/>
      <c r="Q335" s="2"/>
      <c r="R335"/>
      <c r="S335" s="2"/>
      <c r="U335" s="10"/>
      <c r="V335" s="4"/>
      <c r="W335" s="4"/>
      <c r="X335" s="4"/>
    </row>
    <row r="336" spans="2:32" ht="24" customHeight="1">
      <c r="B336" s="940"/>
      <c r="C336" s="941"/>
      <c r="D336" s="768"/>
      <c r="E336" s="802" t="s">
        <v>1546</v>
      </c>
      <c r="F336" s="804" t="str">
        <f>Languages!$N$178</f>
        <v>Unit type</v>
      </c>
      <c r="G336" s="769" t="str">
        <f>G$77</f>
        <v>Asset or Component</v>
      </c>
      <c r="H336" s="767" t="s">
        <v>2251</v>
      </c>
      <c r="I336" s="331" t="s">
        <v>2117</v>
      </c>
      <c r="J336" s="771" t="str">
        <f>Languages!$K$178</f>
        <v>Actions</v>
      </c>
      <c r="K336" s="772"/>
      <c r="L336" s="763" t="s">
        <v>1550</v>
      </c>
      <c r="M336" s="764"/>
      <c r="P336"/>
      <c r="Q336" s="2"/>
      <c r="R336"/>
      <c r="S336" s="2"/>
      <c r="U336" s="10"/>
      <c r="V336" s="4"/>
      <c r="W336" s="4"/>
      <c r="X336" s="4"/>
    </row>
    <row r="337" spans="2:32" s="4" customFormat="1" ht="24" customHeight="1" thickBot="1">
      <c r="B337" s="940"/>
      <c r="C337" s="941"/>
      <c r="D337" s="768"/>
      <c r="E337" s="803"/>
      <c r="F337" s="805"/>
      <c r="G337" s="770"/>
      <c r="H337" s="768"/>
      <c r="I337" s="330" t="str">
        <f>Languages!$E$190</f>
        <v>Social Impact level</v>
      </c>
      <c r="J337" s="492" t="str">
        <f>Languages!$K$185</f>
        <v>Action required</v>
      </c>
      <c r="K337" s="504" t="str">
        <f>Languages!$G$193</f>
        <v>Priority 
1 - 5</v>
      </c>
      <c r="L337" s="541" t="s">
        <v>1551</v>
      </c>
      <c r="M337" s="543" t="s">
        <v>1774</v>
      </c>
      <c r="N337"/>
      <c r="P337"/>
      <c r="R337"/>
      <c r="S337" s="2"/>
      <c r="U337" s="10"/>
      <c r="Y337"/>
      <c r="Z337"/>
      <c r="AA337"/>
      <c r="AB337"/>
      <c r="AC337"/>
      <c r="AD337"/>
      <c r="AE337"/>
      <c r="AF337"/>
    </row>
    <row r="338" spans="2:32" ht="24" customHeight="1">
      <c r="B338" s="739" t="str">
        <f>Languages!$C$238&amp;" network"</f>
        <v>Fibre-optic telecom network</v>
      </c>
      <c r="C338" s="740"/>
      <c r="D338" s="549" t="s">
        <v>2178</v>
      </c>
      <c r="E338" s="819">
        <v>100</v>
      </c>
      <c r="F338" s="820"/>
      <c r="G338" s="711" t="str">
        <f>G$11</f>
        <v>Asset / Component</v>
      </c>
      <c r="H338" s="734" t="s">
        <v>2123</v>
      </c>
      <c r="I338" s="545" t="s">
        <v>2103</v>
      </c>
      <c r="J338" s="711" t="s">
        <v>2212</v>
      </c>
      <c r="K338" s="807">
        <f>SUM(K341:K343)/3</f>
        <v>4.333333333333333</v>
      </c>
      <c r="L338" s="546" t="s">
        <v>2214</v>
      </c>
      <c r="M338" s="757"/>
      <c r="P338"/>
      <c r="Q338" s="2"/>
      <c r="R338"/>
      <c r="S338"/>
      <c r="T338"/>
    </row>
    <row r="339" spans="2:32" ht="24" customHeight="1" thickBot="1">
      <c r="B339" s="741"/>
      <c r="C339" s="742"/>
      <c r="D339" s="571" t="str">
        <f>D$243</f>
        <v>Aggregate volume</v>
      </c>
      <c r="E339" s="821">
        <f>E338*E340</f>
        <v>11000</v>
      </c>
      <c r="F339" s="760"/>
      <c r="G339" s="806"/>
      <c r="H339" s="914"/>
      <c r="I339" s="567" t="s">
        <v>2120</v>
      </c>
      <c r="J339" s="806"/>
      <c r="K339" s="808"/>
      <c r="L339" s="570">
        <f>SUM(M341:M343)</f>
        <v>38</v>
      </c>
      <c r="M339" s="758"/>
      <c r="P339"/>
      <c r="Q339" s="2"/>
      <c r="R339"/>
      <c r="S339"/>
      <c r="T339"/>
    </row>
    <row r="340" spans="2:32" s="4" customFormat="1" ht="24" hidden="1" customHeight="1" outlineLevel="1">
      <c r="B340" s="475"/>
      <c r="C340" s="476"/>
      <c r="D340" s="551" t="s">
        <v>1560</v>
      </c>
      <c r="E340" s="336">
        <v>110</v>
      </c>
      <c r="F340" s="339" t="s">
        <v>1564</v>
      </c>
      <c r="G340" s="461" t="s">
        <v>2130</v>
      </c>
      <c r="H340" s="523" t="s">
        <v>2250</v>
      </c>
      <c r="I340" s="324"/>
      <c r="J340" s="523" t="s">
        <v>28</v>
      </c>
      <c r="K340" s="524" t="str">
        <f>Languages!$G$193</f>
        <v>Priority 
1 - 5</v>
      </c>
      <c r="L340" s="761"/>
      <c r="M340" s="762"/>
      <c r="N340"/>
      <c r="P340"/>
      <c r="R340"/>
      <c r="S340" s="2"/>
      <c r="U340" s="10"/>
      <c r="Y340"/>
      <c r="Z340"/>
      <c r="AA340"/>
      <c r="AB340"/>
      <c r="AC340"/>
      <c r="AD340"/>
      <c r="AE340"/>
      <c r="AF340"/>
    </row>
    <row r="341" spans="2:32" s="4" customFormat="1" ht="24" hidden="1" customHeight="1" outlineLevel="1">
      <c r="B341" s="778"/>
      <c r="C341" s="779"/>
      <c r="D341" s="779"/>
      <c r="E341" s="779"/>
      <c r="F341" s="780"/>
      <c r="G341" s="238" t="s">
        <v>1946</v>
      </c>
      <c r="H341" s="333" t="s">
        <v>2124</v>
      </c>
      <c r="I341" s="776" t="s">
        <v>2141</v>
      </c>
      <c r="J341" s="169" t="s">
        <v>1449</v>
      </c>
      <c r="K341" s="167">
        <v>4</v>
      </c>
      <c r="L341" s="453">
        <f>(E$266*E$268*M341)/1000000</f>
        <v>0.112</v>
      </c>
      <c r="M341" s="345">
        <v>16</v>
      </c>
      <c r="N341"/>
      <c r="O341" s="2"/>
      <c r="P341"/>
      <c r="Q341" s="2"/>
      <c r="R341"/>
      <c r="S341" s="2"/>
      <c r="U341" s="10"/>
      <c r="Y341"/>
      <c r="Z341"/>
      <c r="AA341"/>
      <c r="AB341"/>
      <c r="AC341"/>
      <c r="AD341"/>
      <c r="AE341"/>
      <c r="AF341"/>
    </row>
    <row r="342" spans="2:32" s="4" customFormat="1" ht="24" hidden="1" customHeight="1" outlineLevel="1">
      <c r="B342" s="781"/>
      <c r="C342" s="782"/>
      <c r="D342" s="782"/>
      <c r="E342" s="782"/>
      <c r="F342" s="783"/>
      <c r="G342" s="238" t="s">
        <v>1947</v>
      </c>
      <c r="H342" s="333" t="s">
        <v>2124</v>
      </c>
      <c r="I342" s="776"/>
      <c r="J342" s="169" t="s">
        <v>1449</v>
      </c>
      <c r="K342" s="167">
        <v>5</v>
      </c>
      <c r="L342" s="453">
        <f t="shared" ref="L342:L343" si="34">(E$266*E$268*M342)/1000000</f>
        <v>4.2000000000000003E-2</v>
      </c>
      <c r="M342" s="345">
        <v>6</v>
      </c>
      <c r="N342"/>
      <c r="O342" s="2"/>
      <c r="P342"/>
      <c r="Q342" s="2"/>
      <c r="R342"/>
      <c r="S342" s="2"/>
      <c r="U342" s="10"/>
      <c r="Y342"/>
      <c r="Z342"/>
      <c r="AA342"/>
      <c r="AB342"/>
      <c r="AC342"/>
      <c r="AD342"/>
      <c r="AE342"/>
      <c r="AF342"/>
    </row>
    <row r="343" spans="2:32" s="4" customFormat="1" ht="24" hidden="1" customHeight="1" outlineLevel="1">
      <c r="B343" s="781"/>
      <c r="C343" s="782"/>
      <c r="D343" s="782"/>
      <c r="E343" s="782"/>
      <c r="F343" s="783"/>
      <c r="G343" s="238" t="s">
        <v>2036</v>
      </c>
      <c r="H343" s="333" t="s">
        <v>2124</v>
      </c>
      <c r="I343" s="776"/>
      <c r="J343" s="169" t="s">
        <v>1449</v>
      </c>
      <c r="K343" s="167">
        <v>4</v>
      </c>
      <c r="L343" s="453">
        <f t="shared" si="34"/>
        <v>0.112</v>
      </c>
      <c r="M343" s="345">
        <v>16</v>
      </c>
      <c r="N343"/>
      <c r="O343" s="2"/>
      <c r="P343"/>
      <c r="Q343" s="2"/>
      <c r="R343"/>
      <c r="S343" s="2"/>
      <c r="U343" s="10"/>
      <c r="Y343"/>
      <c r="Z343"/>
      <c r="AA343"/>
      <c r="AB343"/>
      <c r="AC343"/>
      <c r="AD343"/>
      <c r="AE343"/>
      <c r="AF343"/>
    </row>
    <row r="344" spans="2:32" s="4" customFormat="1" ht="24" hidden="1" customHeight="1" outlineLevel="1">
      <c r="B344" s="773"/>
      <c r="C344" s="774"/>
      <c r="D344" s="774"/>
      <c r="E344" s="774"/>
      <c r="F344" s="775"/>
      <c r="G344" s="271"/>
      <c r="H344" s="333" t="s">
        <v>2124</v>
      </c>
      <c r="I344" s="776"/>
      <c r="J344" s="169" t="s">
        <v>1449</v>
      </c>
      <c r="K344" s="167"/>
      <c r="L344" s="453">
        <f>(E$266*E$268*M344)/1000000</f>
        <v>0.112</v>
      </c>
      <c r="M344" s="345">
        <v>16</v>
      </c>
      <c r="N344"/>
      <c r="O344" s="2"/>
      <c r="P344"/>
      <c r="Q344" s="2"/>
      <c r="R344"/>
      <c r="S344" s="2"/>
      <c r="U344" s="10"/>
      <c r="Y344"/>
      <c r="Z344"/>
      <c r="AA344"/>
      <c r="AB344"/>
      <c r="AC344"/>
      <c r="AD344"/>
      <c r="AE344"/>
      <c r="AF344"/>
    </row>
    <row r="345" spans="2:32" s="4" customFormat="1" ht="24" hidden="1" customHeight="1" outlineLevel="1">
      <c r="B345" s="773"/>
      <c r="C345" s="774"/>
      <c r="D345" s="774"/>
      <c r="E345" s="774"/>
      <c r="F345" s="775"/>
      <c r="G345" s="272"/>
      <c r="H345" s="333" t="s">
        <v>2124</v>
      </c>
      <c r="I345" s="776"/>
      <c r="J345" s="169" t="s">
        <v>1449</v>
      </c>
      <c r="K345" s="167"/>
      <c r="L345" s="453">
        <f t="shared" ref="L345:L346" si="35">(E$266*E$268*M345)/1000000</f>
        <v>4.2000000000000003E-2</v>
      </c>
      <c r="M345" s="345">
        <v>6</v>
      </c>
      <c r="N345"/>
      <c r="O345" s="2"/>
      <c r="P345"/>
      <c r="Q345" s="2"/>
      <c r="R345"/>
      <c r="S345" s="2"/>
      <c r="U345" s="10"/>
      <c r="Y345"/>
      <c r="Z345"/>
      <c r="AA345"/>
      <c r="AB345"/>
      <c r="AC345"/>
      <c r="AD345"/>
      <c r="AE345"/>
      <c r="AF345"/>
    </row>
    <row r="346" spans="2:32" s="4" customFormat="1" ht="24" hidden="1" customHeight="1" outlineLevel="1" thickBot="1">
      <c r="B346" s="773"/>
      <c r="C346" s="774"/>
      <c r="D346" s="774"/>
      <c r="E346" s="774"/>
      <c r="F346" s="775"/>
      <c r="G346" s="459"/>
      <c r="H346" s="513" t="s">
        <v>2124</v>
      </c>
      <c r="I346" s="776"/>
      <c r="J346" s="169" t="s">
        <v>1449</v>
      </c>
      <c r="K346" s="456"/>
      <c r="L346" s="548">
        <f t="shared" si="35"/>
        <v>0.112</v>
      </c>
      <c r="M346" s="356">
        <v>16</v>
      </c>
      <c r="N346"/>
      <c r="O346" s="2"/>
      <c r="P346"/>
      <c r="Q346" s="2"/>
      <c r="R346"/>
      <c r="S346" s="2"/>
      <c r="U346" s="10"/>
      <c r="Y346"/>
      <c r="Z346"/>
      <c r="AA346"/>
      <c r="AB346"/>
      <c r="AC346"/>
      <c r="AD346"/>
      <c r="AE346"/>
      <c r="AF346"/>
    </row>
    <row r="347" spans="2:32" ht="24" customHeight="1" collapsed="1">
      <c r="B347" s="739" t="str">
        <f>Languages!$C$240&amp;"s"</f>
        <v>Civilian airports</v>
      </c>
      <c r="C347" s="740"/>
      <c r="D347" s="549" t="s">
        <v>2178</v>
      </c>
      <c r="E347" s="859">
        <v>3</v>
      </c>
      <c r="F347" s="818"/>
      <c r="G347" s="711" t="str">
        <f>G$11</f>
        <v>Asset / Component</v>
      </c>
      <c r="H347" s="734" t="s">
        <v>2123</v>
      </c>
      <c r="I347" s="545" t="s">
        <v>2103</v>
      </c>
      <c r="J347" s="711" t="s">
        <v>2212</v>
      </c>
      <c r="K347" s="807">
        <f>SUM(K350:K352)/3</f>
        <v>4</v>
      </c>
      <c r="L347" s="546" t="s">
        <v>2214</v>
      </c>
      <c r="M347" s="757"/>
      <c r="P347"/>
      <c r="Q347" s="2"/>
      <c r="R347"/>
      <c r="S347"/>
      <c r="T347"/>
    </row>
    <row r="348" spans="2:32" ht="24" customHeight="1" thickBot="1">
      <c r="B348" s="741"/>
      <c r="C348" s="742"/>
      <c r="D348" s="571" t="s">
        <v>1566</v>
      </c>
      <c r="E348" s="821">
        <f>E347*E349</f>
        <v>96000</v>
      </c>
      <c r="F348" s="760"/>
      <c r="G348" s="806"/>
      <c r="H348" s="914"/>
      <c r="I348" s="567" t="s">
        <v>2120</v>
      </c>
      <c r="J348" s="806"/>
      <c r="K348" s="808"/>
      <c r="L348" s="570">
        <f>SUM(M350:M352)</f>
        <v>38</v>
      </c>
      <c r="M348" s="758"/>
      <c r="P348"/>
      <c r="Q348" s="2"/>
      <c r="R348"/>
      <c r="S348"/>
      <c r="T348"/>
    </row>
    <row r="349" spans="2:32" s="4" customFormat="1" ht="24" hidden="1" customHeight="1" outlineLevel="1">
      <c r="B349" s="475"/>
      <c r="C349" s="476"/>
      <c r="D349" s="551" t="s">
        <v>1567</v>
      </c>
      <c r="E349" s="360">
        <v>32000</v>
      </c>
      <c r="F349" s="339" t="s">
        <v>1528</v>
      </c>
      <c r="G349" s="461" t="s">
        <v>2130</v>
      </c>
      <c r="H349" s="523" t="s">
        <v>2250</v>
      </c>
      <c r="I349" s="324"/>
      <c r="J349" s="523" t="s">
        <v>28</v>
      </c>
      <c r="K349" s="524" t="str">
        <f>Languages!$G$193</f>
        <v>Priority 
1 - 5</v>
      </c>
      <c r="L349" s="761"/>
      <c r="M349" s="762"/>
      <c r="N349"/>
      <c r="P349"/>
      <c r="R349"/>
      <c r="S349" s="2"/>
      <c r="U349" s="10"/>
      <c r="Y349"/>
      <c r="Z349"/>
      <c r="AA349"/>
      <c r="AB349"/>
      <c r="AC349"/>
      <c r="AD349"/>
      <c r="AE349"/>
      <c r="AF349"/>
    </row>
    <row r="350" spans="2:32" s="4" customFormat="1" ht="24" hidden="1" customHeight="1" outlineLevel="1">
      <c r="B350" s="778"/>
      <c r="C350" s="779"/>
      <c r="D350" s="779"/>
      <c r="E350" s="779"/>
      <c r="F350" s="780"/>
      <c r="G350" s="238" t="s">
        <v>1946</v>
      </c>
      <c r="H350" s="333" t="s">
        <v>2124</v>
      </c>
      <c r="I350" s="776" t="s">
        <v>2141</v>
      </c>
      <c r="J350" s="169" t="s">
        <v>1449</v>
      </c>
      <c r="K350" s="167">
        <v>4</v>
      </c>
      <c r="L350" s="453">
        <f>(E$266*E$268*M350)/1000000</f>
        <v>0.112</v>
      </c>
      <c r="M350" s="345">
        <v>16</v>
      </c>
      <c r="N350"/>
      <c r="O350" s="2"/>
      <c r="P350"/>
      <c r="Q350" s="2"/>
      <c r="R350"/>
      <c r="S350" s="2"/>
      <c r="U350" s="10"/>
      <c r="Y350"/>
      <c r="Z350"/>
      <c r="AA350"/>
      <c r="AB350"/>
      <c r="AC350"/>
      <c r="AD350"/>
      <c r="AE350"/>
      <c r="AF350"/>
    </row>
    <row r="351" spans="2:32" s="4" customFormat="1" ht="24" hidden="1" customHeight="1" outlineLevel="1">
      <c r="B351" s="781"/>
      <c r="C351" s="782"/>
      <c r="D351" s="782"/>
      <c r="E351" s="782"/>
      <c r="F351" s="783"/>
      <c r="G351" s="238" t="s">
        <v>1947</v>
      </c>
      <c r="H351" s="333" t="s">
        <v>2124</v>
      </c>
      <c r="I351" s="776"/>
      <c r="J351" s="169" t="s">
        <v>1449</v>
      </c>
      <c r="K351" s="167">
        <v>4</v>
      </c>
      <c r="L351" s="453">
        <f t="shared" ref="L351:L352" si="36">(E$266*E$268*M351)/1000000</f>
        <v>4.2000000000000003E-2</v>
      </c>
      <c r="M351" s="345">
        <v>6</v>
      </c>
      <c r="N351"/>
      <c r="O351" s="2"/>
      <c r="P351"/>
      <c r="Q351" s="2"/>
      <c r="R351"/>
      <c r="S351" s="2"/>
      <c r="U351" s="10"/>
      <c r="Y351"/>
      <c r="Z351"/>
      <c r="AA351"/>
      <c r="AB351"/>
      <c r="AC351"/>
      <c r="AD351"/>
      <c r="AE351"/>
      <c r="AF351"/>
    </row>
    <row r="352" spans="2:32" s="4" customFormat="1" ht="24" hidden="1" customHeight="1" outlineLevel="1">
      <c r="B352" s="781"/>
      <c r="C352" s="782"/>
      <c r="D352" s="782"/>
      <c r="E352" s="782"/>
      <c r="F352" s="783"/>
      <c r="G352" s="238" t="s">
        <v>2036</v>
      </c>
      <c r="H352" s="333" t="s">
        <v>2124</v>
      </c>
      <c r="I352" s="776"/>
      <c r="J352" s="169" t="s">
        <v>1449</v>
      </c>
      <c r="K352" s="167">
        <v>4</v>
      </c>
      <c r="L352" s="453">
        <f t="shared" si="36"/>
        <v>0.112</v>
      </c>
      <c r="M352" s="345">
        <v>16</v>
      </c>
      <c r="N352"/>
      <c r="O352" s="2"/>
      <c r="P352"/>
      <c r="Q352" s="2"/>
      <c r="R352"/>
      <c r="S352" s="2"/>
      <c r="U352" s="10"/>
      <c r="Y352"/>
      <c r="Z352"/>
      <c r="AA352"/>
      <c r="AB352"/>
      <c r="AC352"/>
      <c r="AD352"/>
      <c r="AE352"/>
      <c r="AF352"/>
    </row>
    <row r="353" spans="2:32" s="4" customFormat="1" ht="24" hidden="1" customHeight="1" outlineLevel="1">
      <c r="B353" s="773"/>
      <c r="C353" s="774"/>
      <c r="D353" s="774"/>
      <c r="E353" s="774"/>
      <c r="F353" s="775"/>
      <c r="G353" s="271" t="s">
        <v>1974</v>
      </c>
      <c r="H353" s="333" t="s">
        <v>2124</v>
      </c>
      <c r="I353" s="776"/>
      <c r="J353" s="169" t="s">
        <v>1449</v>
      </c>
      <c r="K353" s="167"/>
      <c r="L353" s="453">
        <f>(E$266*E$268*M353)/1000000</f>
        <v>0.112</v>
      </c>
      <c r="M353" s="345">
        <v>16</v>
      </c>
      <c r="N353"/>
      <c r="O353" s="2"/>
      <c r="P353"/>
      <c r="Q353" s="2"/>
      <c r="R353"/>
      <c r="S353" s="2"/>
      <c r="U353" s="10"/>
      <c r="Y353"/>
      <c r="Z353"/>
      <c r="AA353"/>
      <c r="AB353"/>
      <c r="AC353"/>
      <c r="AD353"/>
      <c r="AE353"/>
      <c r="AF353"/>
    </row>
    <row r="354" spans="2:32" s="4" customFormat="1" ht="24" hidden="1" customHeight="1" outlineLevel="1">
      <c r="B354" s="773"/>
      <c r="C354" s="774"/>
      <c r="D354" s="774"/>
      <c r="E354" s="774"/>
      <c r="F354" s="775"/>
      <c r="G354" s="272" t="s">
        <v>1975</v>
      </c>
      <c r="H354" s="333" t="s">
        <v>2124</v>
      </c>
      <c r="I354" s="776"/>
      <c r="J354" s="169" t="s">
        <v>1449</v>
      </c>
      <c r="K354" s="167"/>
      <c r="L354" s="453">
        <f t="shared" ref="L354:L355" si="37">(E$266*E$268*M354)/1000000</f>
        <v>4.2000000000000003E-2</v>
      </c>
      <c r="M354" s="345">
        <v>6</v>
      </c>
      <c r="N354"/>
      <c r="O354" s="2"/>
      <c r="P354"/>
      <c r="Q354" s="2"/>
      <c r="R354"/>
      <c r="S354" s="2"/>
      <c r="U354" s="10"/>
      <c r="Y354"/>
      <c r="Z354"/>
      <c r="AA354"/>
      <c r="AB354"/>
      <c r="AC354"/>
      <c r="AD354"/>
      <c r="AE354"/>
      <c r="AF354"/>
    </row>
    <row r="355" spans="2:32" s="4" customFormat="1" ht="24" hidden="1" customHeight="1" outlineLevel="1" thickBot="1">
      <c r="B355" s="773"/>
      <c r="C355" s="774"/>
      <c r="D355" s="774"/>
      <c r="E355" s="774"/>
      <c r="F355" s="775"/>
      <c r="G355" s="459" t="s">
        <v>1976</v>
      </c>
      <c r="H355" s="333" t="s">
        <v>2124</v>
      </c>
      <c r="I355" s="777"/>
      <c r="J355" s="169" t="s">
        <v>1449</v>
      </c>
      <c r="K355" s="167"/>
      <c r="L355" s="453">
        <f t="shared" si="37"/>
        <v>0.112</v>
      </c>
      <c r="M355" s="345">
        <v>16</v>
      </c>
      <c r="N355"/>
      <c r="O355" s="2"/>
      <c r="P355"/>
      <c r="Q355" s="2"/>
      <c r="R355"/>
      <c r="S355" s="2"/>
      <c r="U355" s="10"/>
      <c r="Y355"/>
      <c r="Z355"/>
      <c r="AA355"/>
      <c r="AB355"/>
      <c r="AC355"/>
      <c r="AD355"/>
      <c r="AE355"/>
      <c r="AF355"/>
    </row>
    <row r="356" spans="2:32" ht="15" customHeight="1" collapsed="1" thickBot="1">
      <c r="B356" s="163" t="s">
        <v>46</v>
      </c>
      <c r="C356" s="163"/>
      <c r="D356" s="163"/>
      <c r="E356" s="163"/>
      <c r="F356" s="163"/>
      <c r="G356" s="165"/>
      <c r="H356" s="12"/>
      <c r="I356" s="12"/>
      <c r="J356" s="12"/>
      <c r="K356" s="12"/>
      <c r="L356" s="370"/>
      <c r="M356" s="370"/>
      <c r="O356"/>
      <c r="P356"/>
      <c r="Q356" s="2"/>
      <c r="R356"/>
      <c r="S356" s="2"/>
      <c r="U356" s="10"/>
      <c r="V356" s="4"/>
      <c r="W356" s="4"/>
      <c r="X356" s="4"/>
    </row>
    <row r="357" spans="2:32" ht="28" customHeight="1" thickBot="1">
      <c r="B357" s="765" t="str">
        <f>B$2</f>
        <v>Damage Assessments for Sustainable Reconstruction in Ukraine</v>
      </c>
      <c r="C357" s="766"/>
      <c r="D357" s="766"/>
      <c r="E357" s="766"/>
      <c r="F357" s="766"/>
      <c r="G357" s="766"/>
      <c r="H357" s="766"/>
      <c r="I357" s="784" t="str">
        <f>I$2</f>
        <v>Irpin Urban Area</v>
      </c>
      <c r="J357" s="785"/>
      <c r="K357" s="786"/>
      <c r="L357" s="371" t="str">
        <f>L$74</f>
        <v>27Jan23</v>
      </c>
      <c r="M357" s="164">
        <v>17</v>
      </c>
      <c r="P357"/>
      <c r="Q357" s="2"/>
      <c r="R357"/>
      <c r="S357" s="2"/>
      <c r="T357"/>
      <c r="V357" s="4"/>
      <c r="W357" s="4"/>
      <c r="X357" s="4"/>
    </row>
    <row r="358" spans="2:32" ht="27" customHeight="1">
      <c r="B358" s="938" t="str">
        <f>Languages!$C$187&amp;" 1"</f>
        <v>Public and private transport 1</v>
      </c>
      <c r="C358" s="939"/>
      <c r="D358" s="787" t="str">
        <f>Languages!$N$176</f>
        <v>Information on main asset &amp; sub-assets</v>
      </c>
      <c r="E358" s="788" t="str">
        <f>Languages!$I$188</f>
        <v>Area and/or quantity assessed</v>
      </c>
      <c r="F358" s="789"/>
      <c r="G358" s="792" t="str">
        <f>Languages!$M$194</f>
        <v>Enter info on type and area / quantity of assets, type and extent of damage.</v>
      </c>
      <c r="H358" s="793"/>
      <c r="I358" s="796" t="s">
        <v>2118</v>
      </c>
      <c r="J358" s="798" t="str">
        <f>Languages!$K$177</f>
        <v>Approx. repair costs, priority 4 &amp; 5 assets, m. Euro</v>
      </c>
      <c r="K358" s="799"/>
      <c r="L358" s="372">
        <f>IF(K362&gt;3,L363)+IF(K371&gt;3,L372)</f>
        <v>76</v>
      </c>
      <c r="M358" s="368" t="s">
        <v>1966</v>
      </c>
      <c r="P358"/>
      <c r="Q358" s="2"/>
      <c r="R358"/>
      <c r="S358" s="2"/>
      <c r="T358"/>
      <c r="V358" s="4"/>
      <c r="W358" s="4"/>
      <c r="X358" s="4"/>
    </row>
    <row r="359" spans="2:32" ht="27" customHeight="1">
      <c r="B359" s="940"/>
      <c r="C359" s="941"/>
      <c r="D359" s="768"/>
      <c r="E359" s="790"/>
      <c r="F359" s="791"/>
      <c r="G359" s="794"/>
      <c r="H359" s="795"/>
      <c r="I359" s="797"/>
      <c r="J359" s="800" t="str">
        <f>Languages!$K$176</f>
        <v>Approx. total repair costs, m. Euro</v>
      </c>
      <c r="K359" s="801"/>
      <c r="L359" s="373">
        <f>(L363+L372)</f>
        <v>76</v>
      </c>
      <c r="M359" s="369" t="s">
        <v>1966</v>
      </c>
      <c r="P359"/>
      <c r="Q359" s="2"/>
      <c r="R359"/>
      <c r="S359" s="2"/>
      <c r="U359" s="10"/>
      <c r="V359" s="4"/>
      <c r="W359" s="4"/>
      <c r="X359" s="4"/>
    </row>
    <row r="360" spans="2:32" ht="23" customHeight="1">
      <c r="B360" s="940"/>
      <c r="C360" s="941"/>
      <c r="D360" s="768"/>
      <c r="E360" s="802" t="s">
        <v>1546</v>
      </c>
      <c r="F360" s="804" t="str">
        <f>Languages!$N$178</f>
        <v>Unit type</v>
      </c>
      <c r="G360" s="769" t="str">
        <f>G$77</f>
        <v>Asset or Component</v>
      </c>
      <c r="H360" s="767" t="s">
        <v>2251</v>
      </c>
      <c r="I360" s="331" t="s">
        <v>2117</v>
      </c>
      <c r="J360" s="771" t="str">
        <f>Languages!$K$178</f>
        <v>Actions</v>
      </c>
      <c r="K360" s="772"/>
      <c r="L360" s="763" t="s">
        <v>1550</v>
      </c>
      <c r="M360" s="764"/>
      <c r="P360"/>
      <c r="Q360" s="2"/>
      <c r="R360"/>
      <c r="S360" s="2"/>
      <c r="U360" s="10"/>
      <c r="V360" s="4"/>
      <c r="W360" s="4"/>
      <c r="X360" s="4"/>
    </row>
    <row r="361" spans="2:32" s="4" customFormat="1" ht="27" customHeight="1" thickBot="1">
      <c r="B361" s="940"/>
      <c r="C361" s="941"/>
      <c r="D361" s="768"/>
      <c r="E361" s="803"/>
      <c r="F361" s="805"/>
      <c r="G361" s="770"/>
      <c r="H361" s="768"/>
      <c r="I361" s="330" t="str">
        <f>Languages!$E$190</f>
        <v>Social Impact level</v>
      </c>
      <c r="J361" s="492" t="str">
        <f>Languages!$K$185</f>
        <v>Action required</v>
      </c>
      <c r="K361" s="504" t="str">
        <f>Languages!$G$193</f>
        <v>Priority 
1 - 5</v>
      </c>
      <c r="L361" s="541" t="s">
        <v>1551</v>
      </c>
      <c r="M361" s="543" t="s">
        <v>1774</v>
      </c>
      <c r="N361"/>
      <c r="P361"/>
      <c r="R361"/>
      <c r="S361" s="2"/>
      <c r="U361" s="10"/>
      <c r="Y361"/>
      <c r="Z361"/>
      <c r="AA361"/>
      <c r="AB361"/>
      <c r="AC361"/>
      <c r="AD361"/>
      <c r="AE361"/>
      <c r="AF361"/>
    </row>
    <row r="362" spans="2:32" ht="26" customHeight="1">
      <c r="B362" s="739" t="str">
        <f>Languages!$C$240&amp;" #6"</f>
        <v>Civilian airport #6</v>
      </c>
      <c r="C362" s="740"/>
      <c r="D362" s="553" t="s">
        <v>2178</v>
      </c>
      <c r="E362" s="817">
        <v>1</v>
      </c>
      <c r="F362" s="818"/>
      <c r="G362" s="711" t="str">
        <f>G$11</f>
        <v>Asset / Component</v>
      </c>
      <c r="H362" s="734" t="s">
        <v>2123</v>
      </c>
      <c r="I362" s="545" t="s">
        <v>2103</v>
      </c>
      <c r="J362" s="711" t="s">
        <v>2212</v>
      </c>
      <c r="K362" s="807">
        <f>SUM(K365:K370)/6</f>
        <v>4.166666666666667</v>
      </c>
      <c r="L362" s="546" t="s">
        <v>2214</v>
      </c>
      <c r="M362" s="757"/>
      <c r="P362"/>
      <c r="Q362" s="2"/>
      <c r="R362"/>
      <c r="S362"/>
      <c r="T362"/>
    </row>
    <row r="363" spans="2:32" ht="22" customHeight="1" thickBot="1">
      <c r="B363" s="741"/>
      <c r="C363" s="742"/>
      <c r="D363" s="569" t="s">
        <v>1566</v>
      </c>
      <c r="E363" s="759">
        <f>E362*E364</f>
        <v>28000</v>
      </c>
      <c r="F363" s="760"/>
      <c r="G363" s="806"/>
      <c r="H363" s="914"/>
      <c r="I363" s="567" t="s">
        <v>2120</v>
      </c>
      <c r="J363" s="806"/>
      <c r="K363" s="808"/>
      <c r="L363" s="570">
        <f>SUM(M365:M367)</f>
        <v>38</v>
      </c>
      <c r="M363" s="758"/>
      <c r="P363"/>
      <c r="Q363" s="2"/>
      <c r="R363"/>
      <c r="S363"/>
      <c r="T363"/>
    </row>
    <row r="364" spans="2:32" s="4" customFormat="1" ht="24" hidden="1" customHeight="1" outlineLevel="1">
      <c r="B364" s="475"/>
      <c r="C364" s="476"/>
      <c r="D364" s="554" t="s">
        <v>1567</v>
      </c>
      <c r="E364" s="560">
        <v>28000</v>
      </c>
      <c r="F364" s="339" t="s">
        <v>1528</v>
      </c>
      <c r="G364" s="461" t="s">
        <v>2130</v>
      </c>
      <c r="H364" s="523" t="s">
        <v>2250</v>
      </c>
      <c r="I364" s="324"/>
      <c r="J364" s="523" t="s">
        <v>28</v>
      </c>
      <c r="K364" s="524" t="str">
        <f>Languages!$G$193</f>
        <v>Priority 
1 - 5</v>
      </c>
      <c r="L364" s="761"/>
      <c r="M364" s="762"/>
      <c r="N364"/>
      <c r="P364"/>
      <c r="R364"/>
      <c r="S364" s="2"/>
      <c r="U364" s="10"/>
      <c r="Y364"/>
      <c r="Z364"/>
      <c r="AA364"/>
      <c r="AB364"/>
      <c r="AC364"/>
      <c r="AD364"/>
      <c r="AE364"/>
      <c r="AF364"/>
    </row>
    <row r="365" spans="2:32" s="4" customFormat="1" ht="24" hidden="1" customHeight="1" outlineLevel="1">
      <c r="B365" s="778"/>
      <c r="C365" s="779"/>
      <c r="D365" s="779"/>
      <c r="E365" s="779"/>
      <c r="F365" s="780"/>
      <c r="G365" s="238" t="s">
        <v>1946</v>
      </c>
      <c r="H365" s="333" t="s">
        <v>2124</v>
      </c>
      <c r="I365" s="776" t="s">
        <v>2141</v>
      </c>
      <c r="J365" s="169" t="s">
        <v>1449</v>
      </c>
      <c r="K365" s="167">
        <v>4</v>
      </c>
      <c r="L365" s="453">
        <f>(E$266*E$268*M365)/1000000</f>
        <v>0.112</v>
      </c>
      <c r="M365" s="345">
        <v>16</v>
      </c>
      <c r="N365"/>
      <c r="O365" s="2"/>
      <c r="P365"/>
      <c r="Q365" s="2"/>
      <c r="R365"/>
      <c r="S365" s="2"/>
      <c r="U365" s="10"/>
      <c r="Y365"/>
      <c r="Z365"/>
      <c r="AA365"/>
      <c r="AB365"/>
      <c r="AC365"/>
      <c r="AD365"/>
      <c r="AE365"/>
      <c r="AF365"/>
    </row>
    <row r="366" spans="2:32" s="4" customFormat="1" ht="24" hidden="1" customHeight="1" outlineLevel="1">
      <c r="B366" s="781"/>
      <c r="C366" s="782"/>
      <c r="D366" s="782"/>
      <c r="E366" s="782"/>
      <c r="F366" s="783"/>
      <c r="G366" s="238" t="s">
        <v>1947</v>
      </c>
      <c r="H366" s="333" t="s">
        <v>2124</v>
      </c>
      <c r="I366" s="776"/>
      <c r="J366" s="169" t="s">
        <v>1449</v>
      </c>
      <c r="K366" s="167">
        <v>4</v>
      </c>
      <c r="L366" s="453">
        <f t="shared" ref="L366:L367" si="38">(E$266*E$268*M366)/1000000</f>
        <v>4.2000000000000003E-2</v>
      </c>
      <c r="M366" s="345">
        <v>6</v>
      </c>
      <c r="N366"/>
      <c r="O366" s="2"/>
      <c r="P366"/>
      <c r="Q366" s="2"/>
      <c r="R366"/>
      <c r="S366" s="2"/>
      <c r="U366" s="10"/>
      <c r="Y366"/>
      <c r="Z366"/>
      <c r="AA366"/>
      <c r="AB366"/>
      <c r="AC366"/>
      <c r="AD366"/>
      <c r="AE366"/>
      <c r="AF366"/>
    </row>
    <row r="367" spans="2:32" s="4" customFormat="1" ht="24" hidden="1" customHeight="1" outlineLevel="1">
      <c r="B367" s="781"/>
      <c r="C367" s="782"/>
      <c r="D367" s="782"/>
      <c r="E367" s="782"/>
      <c r="F367" s="783"/>
      <c r="G367" s="238" t="s">
        <v>2036</v>
      </c>
      <c r="H367" s="333" t="s">
        <v>2124</v>
      </c>
      <c r="I367" s="776"/>
      <c r="J367" s="169" t="s">
        <v>1449</v>
      </c>
      <c r="K367" s="167">
        <v>4</v>
      </c>
      <c r="L367" s="453">
        <f t="shared" si="38"/>
        <v>0.112</v>
      </c>
      <c r="M367" s="345">
        <v>16</v>
      </c>
      <c r="N367"/>
      <c r="O367" s="2"/>
      <c r="P367"/>
      <c r="Q367" s="2"/>
      <c r="R367"/>
      <c r="S367" s="2"/>
      <c r="U367" s="10"/>
      <c r="Y367"/>
      <c r="Z367"/>
      <c r="AA367"/>
      <c r="AB367"/>
      <c r="AC367"/>
      <c r="AD367"/>
      <c r="AE367"/>
      <c r="AF367"/>
    </row>
    <row r="368" spans="2:32" s="4" customFormat="1" ht="24" hidden="1" customHeight="1" outlineLevel="1">
      <c r="B368" s="773"/>
      <c r="C368" s="774"/>
      <c r="D368" s="774"/>
      <c r="E368" s="774"/>
      <c r="F368" s="775"/>
      <c r="G368" s="271" t="s">
        <v>1974</v>
      </c>
      <c r="H368" s="333" t="s">
        <v>2124</v>
      </c>
      <c r="I368" s="776"/>
      <c r="J368" s="169" t="s">
        <v>1449</v>
      </c>
      <c r="K368" s="167">
        <v>5</v>
      </c>
      <c r="L368" s="453">
        <f>(E$266*E$268*M368)/1000000</f>
        <v>0.112</v>
      </c>
      <c r="M368" s="345">
        <v>16</v>
      </c>
      <c r="N368"/>
      <c r="O368" s="2"/>
      <c r="P368"/>
      <c r="Q368" s="2"/>
      <c r="R368"/>
      <c r="S368" s="2"/>
      <c r="U368" s="10"/>
      <c r="Y368"/>
      <c r="Z368"/>
      <c r="AA368"/>
      <c r="AB368"/>
      <c r="AC368"/>
      <c r="AD368"/>
      <c r="AE368"/>
      <c r="AF368"/>
    </row>
    <row r="369" spans="2:32" s="4" customFormat="1" ht="24" hidden="1" customHeight="1" outlineLevel="1">
      <c r="B369" s="773"/>
      <c r="C369" s="774"/>
      <c r="D369" s="774"/>
      <c r="E369" s="774"/>
      <c r="F369" s="775"/>
      <c r="G369" s="272" t="s">
        <v>1975</v>
      </c>
      <c r="H369" s="333" t="s">
        <v>2124</v>
      </c>
      <c r="I369" s="776"/>
      <c r="J369" s="169" t="s">
        <v>1449</v>
      </c>
      <c r="K369" s="167">
        <v>5</v>
      </c>
      <c r="L369" s="453">
        <f t="shared" ref="L369:L370" si="39">(E$266*E$268*M369)/1000000</f>
        <v>4.2000000000000003E-2</v>
      </c>
      <c r="M369" s="345">
        <v>6</v>
      </c>
      <c r="N369"/>
      <c r="O369" s="2"/>
      <c r="P369"/>
      <c r="Q369" s="2"/>
      <c r="R369"/>
      <c r="S369" s="2"/>
      <c r="U369" s="10"/>
      <c r="Y369"/>
      <c r="Z369"/>
      <c r="AA369"/>
      <c r="AB369"/>
      <c r="AC369"/>
      <c r="AD369"/>
      <c r="AE369"/>
      <c r="AF369"/>
    </row>
    <row r="370" spans="2:32" s="4" customFormat="1" ht="24" hidden="1" customHeight="1" outlineLevel="1" thickBot="1">
      <c r="B370" s="773"/>
      <c r="C370" s="774"/>
      <c r="D370" s="774"/>
      <c r="E370" s="774"/>
      <c r="F370" s="775"/>
      <c r="G370" s="459" t="s">
        <v>1976</v>
      </c>
      <c r="H370" s="513" t="s">
        <v>2124</v>
      </c>
      <c r="I370" s="776"/>
      <c r="J370" s="169" t="s">
        <v>1449</v>
      </c>
      <c r="K370" s="456">
        <v>3</v>
      </c>
      <c r="L370" s="548">
        <f t="shared" si="39"/>
        <v>0.112</v>
      </c>
      <c r="M370" s="356">
        <v>16</v>
      </c>
      <c r="N370"/>
      <c r="O370" s="2"/>
      <c r="P370"/>
      <c r="Q370" s="2"/>
      <c r="R370"/>
      <c r="S370" s="2"/>
      <c r="U370" s="10"/>
      <c r="Y370"/>
      <c r="Z370"/>
      <c r="AA370"/>
      <c r="AB370"/>
      <c r="AC370"/>
      <c r="AD370"/>
      <c r="AE370"/>
      <c r="AF370"/>
    </row>
    <row r="371" spans="2:32" ht="27" customHeight="1" collapsed="1">
      <c r="B371" s="739" t="str">
        <f>Languages!$C$241</f>
        <v>Military airport</v>
      </c>
      <c r="C371" s="740"/>
      <c r="D371" s="553" t="s">
        <v>2178</v>
      </c>
      <c r="E371" s="817">
        <v>2</v>
      </c>
      <c r="F371" s="818"/>
      <c r="G371" s="711" t="str">
        <f>G$11</f>
        <v>Asset / Component</v>
      </c>
      <c r="H371" s="734" t="s">
        <v>2123</v>
      </c>
      <c r="I371" s="545" t="s">
        <v>2103</v>
      </c>
      <c r="J371" s="711" t="s">
        <v>2212</v>
      </c>
      <c r="K371" s="807">
        <f>SUM(K374:K379)/6</f>
        <v>3.5</v>
      </c>
      <c r="L371" s="546" t="s">
        <v>2214</v>
      </c>
      <c r="M371" s="757"/>
      <c r="P371"/>
      <c r="Q371" s="2"/>
      <c r="R371"/>
      <c r="S371"/>
      <c r="T371"/>
    </row>
    <row r="372" spans="2:32" ht="23" customHeight="1" thickBot="1">
      <c r="B372" s="741"/>
      <c r="C372" s="742"/>
      <c r="D372" s="569" t="s">
        <v>1566</v>
      </c>
      <c r="E372" s="759">
        <f>E371*E373</f>
        <v>66000</v>
      </c>
      <c r="F372" s="760"/>
      <c r="G372" s="806"/>
      <c r="H372" s="914"/>
      <c r="I372" s="567" t="s">
        <v>2120</v>
      </c>
      <c r="J372" s="806"/>
      <c r="K372" s="808"/>
      <c r="L372" s="570">
        <f>SUM(M374:M376)</f>
        <v>38</v>
      </c>
      <c r="M372" s="758"/>
      <c r="P372"/>
      <c r="Q372" s="2"/>
      <c r="R372"/>
      <c r="S372"/>
      <c r="T372"/>
    </row>
    <row r="373" spans="2:32" s="4" customFormat="1" ht="24" hidden="1" customHeight="1" outlineLevel="1">
      <c r="B373" s="475"/>
      <c r="C373" s="476"/>
      <c r="D373" s="554" t="s">
        <v>1567</v>
      </c>
      <c r="E373" s="557">
        <v>33000</v>
      </c>
      <c r="F373" s="339" t="s">
        <v>1528</v>
      </c>
      <c r="G373" s="461" t="s">
        <v>2130</v>
      </c>
      <c r="H373" s="523" t="s">
        <v>2250</v>
      </c>
      <c r="I373" s="324"/>
      <c r="J373" s="523" t="s">
        <v>28</v>
      </c>
      <c r="K373" s="524" t="str">
        <f>Languages!$G$193</f>
        <v>Priority 
1 - 5</v>
      </c>
      <c r="L373" s="761"/>
      <c r="M373" s="762"/>
      <c r="N373"/>
      <c r="P373"/>
      <c r="R373"/>
      <c r="S373" s="2"/>
      <c r="U373" s="10"/>
      <c r="Y373"/>
      <c r="Z373"/>
      <c r="AA373"/>
      <c r="AB373"/>
      <c r="AC373"/>
      <c r="AD373"/>
      <c r="AE373"/>
      <c r="AF373"/>
    </row>
    <row r="374" spans="2:32" s="4" customFormat="1" ht="24" hidden="1" customHeight="1" outlineLevel="1">
      <c r="B374" s="778"/>
      <c r="C374" s="779"/>
      <c r="D374" s="779"/>
      <c r="E374" s="779"/>
      <c r="F374" s="780"/>
      <c r="G374" s="238" t="s">
        <v>1946</v>
      </c>
      <c r="H374" s="333" t="s">
        <v>2124</v>
      </c>
      <c r="I374" s="776" t="s">
        <v>2141</v>
      </c>
      <c r="J374" s="169" t="s">
        <v>1449</v>
      </c>
      <c r="K374" s="167">
        <v>4</v>
      </c>
      <c r="L374" s="453">
        <f>(E$266*E$268*M374)/1000000</f>
        <v>0.112</v>
      </c>
      <c r="M374" s="345">
        <v>16</v>
      </c>
      <c r="N374"/>
      <c r="O374" s="2"/>
      <c r="P374"/>
      <c r="Q374" s="2"/>
      <c r="R374"/>
      <c r="S374" s="2"/>
      <c r="U374" s="10"/>
      <c r="Y374"/>
      <c r="Z374"/>
      <c r="AA374"/>
      <c r="AB374"/>
      <c r="AC374"/>
      <c r="AD374"/>
      <c r="AE374"/>
      <c r="AF374"/>
    </row>
    <row r="375" spans="2:32" s="4" customFormat="1" ht="24" hidden="1" customHeight="1" outlineLevel="1">
      <c r="B375" s="781"/>
      <c r="C375" s="782"/>
      <c r="D375" s="782"/>
      <c r="E375" s="782"/>
      <c r="F375" s="783"/>
      <c r="G375" s="238" t="s">
        <v>1947</v>
      </c>
      <c r="H375" s="333" t="s">
        <v>2124</v>
      </c>
      <c r="I375" s="776"/>
      <c r="J375" s="169" t="s">
        <v>1449</v>
      </c>
      <c r="K375" s="167">
        <v>4</v>
      </c>
      <c r="L375" s="453">
        <f t="shared" ref="L375:L376" si="40">(E$266*E$268*M375)/1000000</f>
        <v>4.2000000000000003E-2</v>
      </c>
      <c r="M375" s="345">
        <v>6</v>
      </c>
      <c r="N375"/>
      <c r="O375" s="2"/>
      <c r="P375"/>
      <c r="Q375" s="2"/>
      <c r="R375"/>
      <c r="S375" s="2"/>
      <c r="U375" s="10"/>
      <c r="Y375"/>
      <c r="Z375"/>
      <c r="AA375"/>
      <c r="AB375"/>
      <c r="AC375"/>
      <c r="AD375"/>
      <c r="AE375"/>
      <c r="AF375"/>
    </row>
    <row r="376" spans="2:32" s="4" customFormat="1" ht="24" hidden="1" customHeight="1" outlineLevel="1">
      <c r="B376" s="781"/>
      <c r="C376" s="782"/>
      <c r="D376" s="782"/>
      <c r="E376" s="782"/>
      <c r="F376" s="783"/>
      <c r="G376" s="238" t="s">
        <v>2036</v>
      </c>
      <c r="H376" s="333" t="s">
        <v>2124</v>
      </c>
      <c r="I376" s="776"/>
      <c r="J376" s="169" t="s">
        <v>1449</v>
      </c>
      <c r="K376" s="167">
        <v>4</v>
      </c>
      <c r="L376" s="453">
        <f t="shared" si="40"/>
        <v>0.112</v>
      </c>
      <c r="M376" s="345">
        <v>16</v>
      </c>
      <c r="N376"/>
      <c r="O376" s="2"/>
      <c r="P376"/>
      <c r="Q376" s="2"/>
      <c r="R376"/>
      <c r="S376" s="2"/>
      <c r="U376" s="10"/>
      <c r="Y376"/>
      <c r="Z376"/>
      <c r="AA376"/>
      <c r="AB376"/>
      <c r="AC376"/>
      <c r="AD376"/>
      <c r="AE376"/>
      <c r="AF376"/>
    </row>
    <row r="377" spans="2:32" s="4" customFormat="1" ht="24" hidden="1" customHeight="1" outlineLevel="1">
      <c r="B377" s="773"/>
      <c r="C377" s="774"/>
      <c r="D377" s="774"/>
      <c r="E377" s="774"/>
      <c r="F377" s="775"/>
      <c r="G377" s="271" t="s">
        <v>1974</v>
      </c>
      <c r="H377" s="333" t="s">
        <v>2124</v>
      </c>
      <c r="I377" s="776"/>
      <c r="J377" s="169" t="s">
        <v>1449</v>
      </c>
      <c r="K377" s="167">
        <v>3</v>
      </c>
      <c r="L377" s="453">
        <f>(E$266*E$268*M377)/1000000</f>
        <v>0.112</v>
      </c>
      <c r="M377" s="345">
        <v>16</v>
      </c>
      <c r="N377"/>
      <c r="O377" s="2"/>
      <c r="P377"/>
      <c r="Q377" s="2"/>
      <c r="R377"/>
      <c r="S377" s="2"/>
      <c r="U377" s="10"/>
      <c r="Y377"/>
      <c r="Z377"/>
      <c r="AA377"/>
      <c r="AB377"/>
      <c r="AC377"/>
      <c r="AD377"/>
      <c r="AE377"/>
      <c r="AF377"/>
    </row>
    <row r="378" spans="2:32" s="4" customFormat="1" ht="24" hidden="1" customHeight="1" outlineLevel="1">
      <c r="B378" s="773"/>
      <c r="C378" s="774"/>
      <c r="D378" s="774"/>
      <c r="E378" s="774"/>
      <c r="F378" s="775"/>
      <c r="G378" s="272" t="s">
        <v>1975</v>
      </c>
      <c r="H378" s="333" t="s">
        <v>2124</v>
      </c>
      <c r="I378" s="776"/>
      <c r="J378" s="169" t="s">
        <v>1449</v>
      </c>
      <c r="K378" s="167">
        <v>3</v>
      </c>
      <c r="L378" s="453">
        <f t="shared" ref="L378:L379" si="41">(E$266*E$268*M378)/1000000</f>
        <v>4.2000000000000003E-2</v>
      </c>
      <c r="M378" s="345">
        <v>6</v>
      </c>
      <c r="N378"/>
      <c r="O378" s="2"/>
      <c r="P378"/>
      <c r="Q378" s="2"/>
      <c r="R378"/>
      <c r="S378" s="2"/>
      <c r="U378" s="10"/>
      <c r="Y378"/>
      <c r="Z378"/>
      <c r="AA378"/>
      <c r="AB378"/>
      <c r="AC378"/>
      <c r="AD378"/>
      <c r="AE378"/>
      <c r="AF378"/>
    </row>
    <row r="379" spans="2:32" s="4" customFormat="1" ht="24" hidden="1" customHeight="1" outlineLevel="1" thickBot="1">
      <c r="B379" s="773"/>
      <c r="C379" s="774"/>
      <c r="D379" s="774"/>
      <c r="E379" s="774"/>
      <c r="F379" s="775"/>
      <c r="G379" s="272" t="s">
        <v>1976</v>
      </c>
      <c r="H379" s="333" t="s">
        <v>2124</v>
      </c>
      <c r="I379" s="777"/>
      <c r="J379" s="169" t="s">
        <v>1449</v>
      </c>
      <c r="K379" s="167">
        <v>3</v>
      </c>
      <c r="L379" s="453">
        <f t="shared" si="41"/>
        <v>0.112</v>
      </c>
      <c r="M379" s="345">
        <v>16</v>
      </c>
      <c r="N379"/>
      <c r="O379" s="2"/>
      <c r="P379"/>
      <c r="Q379" s="2"/>
      <c r="R379"/>
      <c r="S379" s="2"/>
      <c r="U379" s="10"/>
      <c r="Y379"/>
      <c r="Z379"/>
      <c r="AA379"/>
      <c r="AB379"/>
      <c r="AC379"/>
      <c r="AD379"/>
      <c r="AE379"/>
      <c r="AF379"/>
    </row>
    <row r="380" spans="2:32" ht="15" customHeight="1" collapsed="1" thickBot="1">
      <c r="B380" s="163" t="s">
        <v>46</v>
      </c>
      <c r="C380" s="163"/>
      <c r="D380" s="163"/>
      <c r="E380" s="163"/>
      <c r="F380" s="163"/>
      <c r="G380" s="165"/>
      <c r="H380" s="12"/>
      <c r="I380" s="12"/>
      <c r="J380" s="12"/>
      <c r="K380" s="12"/>
      <c r="L380" s="370"/>
      <c r="M380" s="370"/>
      <c r="O380"/>
      <c r="P380"/>
      <c r="Q380" s="2"/>
      <c r="R380"/>
      <c r="S380" s="2"/>
      <c r="U380" s="10"/>
      <c r="V380" s="4"/>
      <c r="W380" s="4"/>
      <c r="X380" s="4"/>
    </row>
    <row r="381" spans="2:32" ht="28" customHeight="1" thickBot="1">
      <c r="B381" s="765" t="str">
        <f>B$2</f>
        <v>Damage Assessments for Sustainable Reconstruction in Ukraine</v>
      </c>
      <c r="C381" s="766"/>
      <c r="D381" s="766"/>
      <c r="E381" s="766"/>
      <c r="F381" s="766"/>
      <c r="G381" s="766"/>
      <c r="H381" s="766"/>
      <c r="I381" s="784" t="str">
        <f>I$2</f>
        <v>Irpin Urban Area</v>
      </c>
      <c r="J381" s="785"/>
      <c r="K381" s="786"/>
      <c r="L381" s="371" t="str">
        <f>L$74</f>
        <v>27Jan23</v>
      </c>
      <c r="M381" s="164">
        <v>18</v>
      </c>
      <c r="P381"/>
      <c r="Q381" s="2"/>
      <c r="R381"/>
      <c r="S381" s="2"/>
      <c r="T381"/>
      <c r="V381" s="4"/>
      <c r="W381" s="4"/>
      <c r="X381" s="4"/>
    </row>
    <row r="382" spans="2:32" ht="27" customHeight="1">
      <c r="B382" s="938" t="str">
        <f>Languages!$C$187&amp;" 2"</f>
        <v>Public and private transport 2</v>
      </c>
      <c r="C382" s="939"/>
      <c r="D382" s="787" t="str">
        <f>Languages!$N$176</f>
        <v>Information on main asset &amp; sub-assets</v>
      </c>
      <c r="E382" s="788" t="str">
        <f>Languages!$I$188</f>
        <v>Area and/or quantity assessed</v>
      </c>
      <c r="F382" s="789"/>
      <c r="G382" s="792" t="str">
        <f>Languages!$M$194</f>
        <v>Enter info on type and area / quantity of assets, type and extent of damage.</v>
      </c>
      <c r="H382" s="793"/>
      <c r="I382" s="796" t="s">
        <v>2118</v>
      </c>
      <c r="J382" s="798" t="str">
        <f>Languages!$K$177</f>
        <v>Approx. repair costs, priority 4 &amp; 5 assets, m. Euro</v>
      </c>
      <c r="K382" s="799"/>
      <c r="L382" s="372">
        <f>IF(K386&gt;3,L387)+IF(K395&gt;3,L396)</f>
        <v>38</v>
      </c>
      <c r="M382" s="368" t="s">
        <v>1966</v>
      </c>
      <c r="P382"/>
      <c r="Q382" s="2"/>
      <c r="R382"/>
      <c r="S382" s="2"/>
      <c r="T382"/>
      <c r="V382" s="4"/>
      <c r="W382" s="4"/>
      <c r="X382" s="4"/>
    </row>
    <row r="383" spans="2:32" ht="27" customHeight="1">
      <c r="B383" s="940"/>
      <c r="C383" s="941"/>
      <c r="D383" s="768"/>
      <c r="E383" s="790"/>
      <c r="F383" s="791"/>
      <c r="G383" s="794"/>
      <c r="H383" s="795"/>
      <c r="I383" s="797"/>
      <c r="J383" s="800" t="str">
        <f>Languages!$K$176</f>
        <v>Approx. total repair costs, m. Euro</v>
      </c>
      <c r="K383" s="801"/>
      <c r="L383" s="373">
        <f>(L387+L396)</f>
        <v>76</v>
      </c>
      <c r="M383" s="369" t="s">
        <v>1966</v>
      </c>
      <c r="P383"/>
      <c r="Q383" s="2"/>
      <c r="R383"/>
      <c r="S383" s="2"/>
      <c r="U383" s="10"/>
      <c r="V383" s="4"/>
      <c r="W383" s="4"/>
      <c r="X383" s="4"/>
    </row>
    <row r="384" spans="2:32" ht="20" customHeight="1">
      <c r="B384" s="940"/>
      <c r="C384" s="941"/>
      <c r="D384" s="768"/>
      <c r="E384" s="802" t="s">
        <v>1546</v>
      </c>
      <c r="F384" s="804" t="str">
        <f>Languages!$N$178</f>
        <v>Unit type</v>
      </c>
      <c r="G384" s="769" t="str">
        <f>G$77</f>
        <v>Asset or Component</v>
      </c>
      <c r="H384" s="767" t="s">
        <v>2251</v>
      </c>
      <c r="I384" s="331" t="s">
        <v>2117</v>
      </c>
      <c r="J384" s="771" t="str">
        <f>Languages!$K$178</f>
        <v>Actions</v>
      </c>
      <c r="K384" s="772"/>
      <c r="L384" s="763" t="s">
        <v>1550</v>
      </c>
      <c r="M384" s="764"/>
      <c r="P384"/>
      <c r="Q384" s="2"/>
      <c r="R384"/>
      <c r="S384" s="2"/>
      <c r="U384" s="10"/>
      <c r="V384" s="4"/>
      <c r="W384" s="4"/>
      <c r="X384" s="4"/>
    </row>
    <row r="385" spans="2:32" s="4" customFormat="1" ht="24" customHeight="1" thickBot="1">
      <c r="B385" s="940"/>
      <c r="C385" s="941"/>
      <c r="D385" s="768"/>
      <c r="E385" s="803"/>
      <c r="F385" s="805"/>
      <c r="G385" s="770"/>
      <c r="H385" s="768"/>
      <c r="I385" s="330" t="str">
        <f>Languages!$E$190</f>
        <v>Social Impact level</v>
      </c>
      <c r="J385" s="492" t="str">
        <f>Languages!$K$185</f>
        <v>Action required</v>
      </c>
      <c r="K385" s="504" t="str">
        <f>Languages!$G$193</f>
        <v>Priority 
1 - 5</v>
      </c>
      <c r="L385" s="541" t="s">
        <v>1551</v>
      </c>
      <c r="M385" s="543" t="s">
        <v>1774</v>
      </c>
      <c r="N385"/>
      <c r="P385"/>
      <c r="R385"/>
      <c r="S385" s="2"/>
      <c r="U385" s="10"/>
      <c r="Y385"/>
      <c r="Z385"/>
      <c r="AA385"/>
      <c r="AB385"/>
      <c r="AC385"/>
      <c r="AD385"/>
      <c r="AE385"/>
      <c r="AF385"/>
    </row>
    <row r="386" spans="2:32" ht="28" customHeight="1">
      <c r="B386" s="739" t="str">
        <f>Languages!$C$242</f>
        <v>Train signalling system</v>
      </c>
      <c r="C386" s="740"/>
      <c r="D386" s="553" t="s">
        <v>2178</v>
      </c>
      <c r="E386" s="817">
        <v>80</v>
      </c>
      <c r="F386" s="818"/>
      <c r="G386" s="711" t="str">
        <f>G$11</f>
        <v>Asset / Component</v>
      </c>
      <c r="H386" s="734" t="s">
        <v>2123</v>
      </c>
      <c r="I386" s="545" t="s">
        <v>2103</v>
      </c>
      <c r="J386" s="711" t="s">
        <v>2212</v>
      </c>
      <c r="K386" s="807">
        <f>SUM(K389:K391)/6</f>
        <v>2</v>
      </c>
      <c r="L386" s="546" t="s">
        <v>2214</v>
      </c>
      <c r="M386" s="757"/>
      <c r="P386"/>
      <c r="Q386" s="2"/>
      <c r="R386"/>
      <c r="S386"/>
      <c r="T386"/>
    </row>
    <row r="387" spans="2:32" ht="23" customHeight="1" thickBot="1">
      <c r="B387" s="741"/>
      <c r="C387" s="742"/>
      <c r="D387" s="569" t="s">
        <v>1782</v>
      </c>
      <c r="E387" s="759">
        <f>E386*E388</f>
        <v>8800</v>
      </c>
      <c r="F387" s="760"/>
      <c r="G387" s="806"/>
      <c r="H387" s="914"/>
      <c r="I387" s="567" t="s">
        <v>2120</v>
      </c>
      <c r="J387" s="806"/>
      <c r="K387" s="808"/>
      <c r="L387" s="570">
        <f>SUM(M389:M391)</f>
        <v>38</v>
      </c>
      <c r="M387" s="758"/>
      <c r="P387"/>
      <c r="Q387" s="2"/>
      <c r="R387"/>
      <c r="S387"/>
      <c r="T387"/>
    </row>
    <row r="388" spans="2:32" s="4" customFormat="1" ht="24" hidden="1" customHeight="1" outlineLevel="1">
      <c r="B388" s="475"/>
      <c r="C388" s="476"/>
      <c r="D388" s="554" t="s">
        <v>1783</v>
      </c>
      <c r="E388" s="560">
        <v>110</v>
      </c>
      <c r="F388" s="339" t="s">
        <v>1564</v>
      </c>
      <c r="G388" s="461" t="s">
        <v>2130</v>
      </c>
      <c r="H388" s="523" t="s">
        <v>2250</v>
      </c>
      <c r="I388" s="324"/>
      <c r="J388" s="523" t="s">
        <v>28</v>
      </c>
      <c r="K388" s="524" t="str">
        <f>Languages!$G$193</f>
        <v>Priority 
1 - 5</v>
      </c>
      <c r="L388" s="761"/>
      <c r="M388" s="762"/>
      <c r="N388"/>
      <c r="P388"/>
      <c r="R388"/>
      <c r="S388" s="2"/>
      <c r="U388" s="10"/>
      <c r="Y388"/>
      <c r="Z388"/>
      <c r="AA388"/>
      <c r="AB388"/>
      <c r="AC388"/>
      <c r="AD388"/>
      <c r="AE388"/>
      <c r="AF388"/>
    </row>
    <row r="389" spans="2:32" s="4" customFormat="1" ht="24" hidden="1" customHeight="1" outlineLevel="1">
      <c r="B389" s="778"/>
      <c r="C389" s="779"/>
      <c r="D389" s="779"/>
      <c r="E389" s="779"/>
      <c r="F389" s="780"/>
      <c r="G389" s="238" t="s">
        <v>1946</v>
      </c>
      <c r="H389" s="333" t="s">
        <v>2124</v>
      </c>
      <c r="I389" s="776" t="s">
        <v>2141</v>
      </c>
      <c r="J389" s="169" t="s">
        <v>1449</v>
      </c>
      <c r="K389" s="167">
        <v>4</v>
      </c>
      <c r="L389" s="453">
        <f>(E$266*E$268*M389)/1000000</f>
        <v>0.112</v>
      </c>
      <c r="M389" s="345">
        <v>16</v>
      </c>
      <c r="N389"/>
      <c r="O389" s="2"/>
      <c r="P389"/>
      <c r="Q389" s="2"/>
      <c r="R389"/>
      <c r="S389" s="2"/>
      <c r="U389" s="10"/>
      <c r="Y389"/>
      <c r="Z389"/>
      <c r="AA389"/>
      <c r="AB389"/>
      <c r="AC389"/>
      <c r="AD389"/>
      <c r="AE389"/>
      <c r="AF389"/>
    </row>
    <row r="390" spans="2:32" s="4" customFormat="1" ht="24" hidden="1" customHeight="1" outlineLevel="1">
      <c r="B390" s="781"/>
      <c r="C390" s="782"/>
      <c r="D390" s="782"/>
      <c r="E390" s="782"/>
      <c r="F390" s="783"/>
      <c r="G390" s="238" t="s">
        <v>1947</v>
      </c>
      <c r="H390" s="333" t="s">
        <v>2124</v>
      </c>
      <c r="I390" s="776"/>
      <c r="J390" s="169" t="s">
        <v>1449</v>
      </c>
      <c r="K390" s="167">
        <v>4</v>
      </c>
      <c r="L390" s="453">
        <f t="shared" ref="L390:L391" si="42">(E$266*E$268*M390)/1000000</f>
        <v>4.2000000000000003E-2</v>
      </c>
      <c r="M390" s="345">
        <v>6</v>
      </c>
      <c r="N390"/>
      <c r="O390" s="2"/>
      <c r="P390"/>
      <c r="Q390" s="2"/>
      <c r="R390"/>
      <c r="S390" s="2"/>
      <c r="U390" s="10"/>
      <c r="Y390"/>
      <c r="Z390"/>
      <c r="AA390"/>
      <c r="AB390"/>
      <c r="AC390"/>
      <c r="AD390"/>
      <c r="AE390"/>
      <c r="AF390"/>
    </row>
    <row r="391" spans="2:32" s="4" customFormat="1" ht="24" hidden="1" customHeight="1" outlineLevel="1">
      <c r="B391" s="781"/>
      <c r="C391" s="782"/>
      <c r="D391" s="782"/>
      <c r="E391" s="782"/>
      <c r="F391" s="783"/>
      <c r="G391" s="238" t="s">
        <v>2036</v>
      </c>
      <c r="H391" s="333" t="s">
        <v>2124</v>
      </c>
      <c r="I391" s="776"/>
      <c r="J391" s="169" t="s">
        <v>1449</v>
      </c>
      <c r="K391" s="167">
        <v>4</v>
      </c>
      <c r="L391" s="453">
        <f t="shared" si="42"/>
        <v>0.112</v>
      </c>
      <c r="M391" s="345">
        <v>16</v>
      </c>
      <c r="N391"/>
      <c r="O391" s="2"/>
      <c r="P391"/>
      <c r="Q391" s="2"/>
      <c r="R391"/>
      <c r="S391" s="2"/>
      <c r="U391" s="10"/>
      <c r="Y391"/>
      <c r="Z391"/>
      <c r="AA391"/>
      <c r="AB391"/>
      <c r="AC391"/>
      <c r="AD391"/>
      <c r="AE391"/>
      <c r="AF391"/>
    </row>
    <row r="392" spans="2:32" s="4" customFormat="1" ht="24" hidden="1" customHeight="1" outlineLevel="1">
      <c r="B392" s="773"/>
      <c r="C392" s="774"/>
      <c r="D392" s="774"/>
      <c r="E392" s="774"/>
      <c r="F392" s="775"/>
      <c r="G392" s="271" t="s">
        <v>2222</v>
      </c>
      <c r="H392" s="333" t="s">
        <v>2124</v>
      </c>
      <c r="I392" s="776"/>
      <c r="J392" s="169" t="s">
        <v>1449</v>
      </c>
      <c r="K392" s="167">
        <v>4</v>
      </c>
      <c r="L392" s="453">
        <f>(E$266*E$268*M392)/1000000</f>
        <v>0.112</v>
      </c>
      <c r="M392" s="345">
        <v>16</v>
      </c>
      <c r="N392"/>
      <c r="O392" s="2"/>
      <c r="P392"/>
      <c r="Q392" s="2"/>
      <c r="R392"/>
      <c r="S392" s="2"/>
      <c r="U392" s="10"/>
      <c r="Y392"/>
      <c r="Z392"/>
      <c r="AA392"/>
      <c r="AB392"/>
      <c r="AC392"/>
      <c r="AD392"/>
      <c r="AE392"/>
      <c r="AF392"/>
    </row>
    <row r="393" spans="2:32" s="4" customFormat="1" ht="24" hidden="1" customHeight="1" outlineLevel="1">
      <c r="B393" s="773"/>
      <c r="C393" s="774"/>
      <c r="D393" s="774"/>
      <c r="E393" s="774"/>
      <c r="F393" s="775"/>
      <c r="G393" s="272" t="s">
        <v>2223</v>
      </c>
      <c r="H393" s="333" t="s">
        <v>2124</v>
      </c>
      <c r="I393" s="776"/>
      <c r="J393" s="169" t="s">
        <v>1449</v>
      </c>
      <c r="K393" s="167">
        <v>4</v>
      </c>
      <c r="L393" s="453">
        <f t="shared" ref="L393:L394" si="43">(E$266*E$268*M393)/1000000</f>
        <v>4.2000000000000003E-2</v>
      </c>
      <c r="M393" s="345">
        <v>6</v>
      </c>
      <c r="N393"/>
      <c r="O393" s="2"/>
      <c r="P393"/>
      <c r="Q393" s="2"/>
      <c r="R393"/>
      <c r="S393" s="2"/>
      <c r="U393" s="10"/>
      <c r="Y393"/>
      <c r="Z393"/>
      <c r="AA393"/>
      <c r="AB393"/>
      <c r="AC393"/>
      <c r="AD393"/>
      <c r="AE393"/>
      <c r="AF393"/>
    </row>
    <row r="394" spans="2:32" s="4" customFormat="1" ht="24" hidden="1" customHeight="1" outlineLevel="1" thickBot="1">
      <c r="B394" s="773"/>
      <c r="C394" s="774"/>
      <c r="D394" s="774"/>
      <c r="E394" s="774"/>
      <c r="F394" s="775"/>
      <c r="G394" s="459"/>
      <c r="H394" s="513" t="s">
        <v>2124</v>
      </c>
      <c r="I394" s="776"/>
      <c r="J394" s="169" t="s">
        <v>1449</v>
      </c>
      <c r="K394" s="456">
        <v>3</v>
      </c>
      <c r="L394" s="548">
        <f t="shared" si="43"/>
        <v>0.112</v>
      </c>
      <c r="M394" s="356">
        <v>16</v>
      </c>
      <c r="N394"/>
      <c r="O394" s="2"/>
      <c r="P394"/>
      <c r="Q394" s="2"/>
      <c r="R394"/>
      <c r="S394" s="2"/>
      <c r="U394" s="10"/>
      <c r="Y394"/>
      <c r="Z394"/>
      <c r="AA394"/>
      <c r="AB394"/>
      <c r="AC394"/>
      <c r="AD394"/>
      <c r="AE394"/>
      <c r="AF394"/>
    </row>
    <row r="395" spans="2:32" ht="27" customHeight="1" collapsed="1">
      <c r="B395" s="739" t="str">
        <f>Languages!$C$244</f>
        <v>Underground train</v>
      </c>
      <c r="C395" s="740"/>
      <c r="D395" s="553" t="s">
        <v>2178</v>
      </c>
      <c r="E395" s="817">
        <v>8</v>
      </c>
      <c r="F395" s="818"/>
      <c r="G395" s="711" t="str">
        <f>G$11</f>
        <v>Asset / Component</v>
      </c>
      <c r="H395" s="734" t="s">
        <v>2123</v>
      </c>
      <c r="I395" s="545" t="s">
        <v>2103</v>
      </c>
      <c r="J395" s="711" t="s">
        <v>2212</v>
      </c>
      <c r="K395" s="807">
        <f>SUM(K398:K400)/3</f>
        <v>4</v>
      </c>
      <c r="L395" s="546" t="s">
        <v>2214</v>
      </c>
      <c r="M395" s="757"/>
      <c r="P395"/>
      <c r="Q395" s="2"/>
      <c r="R395"/>
      <c r="S395"/>
      <c r="T395"/>
    </row>
    <row r="396" spans="2:32" ht="22" customHeight="1" thickBot="1">
      <c r="B396" s="741"/>
      <c r="C396" s="742"/>
      <c r="D396" s="569" t="s">
        <v>1782</v>
      </c>
      <c r="E396" s="759">
        <f>E395*E397</f>
        <v>720</v>
      </c>
      <c r="F396" s="760"/>
      <c r="G396" s="806"/>
      <c r="H396" s="914"/>
      <c r="I396" s="567" t="s">
        <v>2120</v>
      </c>
      <c r="J396" s="806"/>
      <c r="K396" s="808"/>
      <c r="L396" s="570">
        <f>SUM(M398:M400)</f>
        <v>38</v>
      </c>
      <c r="M396" s="758"/>
      <c r="P396"/>
      <c r="Q396" s="2"/>
      <c r="R396"/>
      <c r="S396"/>
      <c r="T396"/>
    </row>
    <row r="397" spans="2:32" s="4" customFormat="1" ht="24" hidden="1" customHeight="1" outlineLevel="1">
      <c r="B397" s="475"/>
      <c r="C397" s="476"/>
      <c r="D397" s="554" t="s">
        <v>1783</v>
      </c>
      <c r="E397" s="557">
        <v>90</v>
      </c>
      <c r="F397" s="339" t="s">
        <v>1564</v>
      </c>
      <c r="G397" s="461" t="s">
        <v>2130</v>
      </c>
      <c r="H397" s="523" t="s">
        <v>2250</v>
      </c>
      <c r="I397" s="324"/>
      <c r="J397" s="523" t="s">
        <v>28</v>
      </c>
      <c r="K397" s="524" t="str">
        <f>Languages!$G$193</f>
        <v>Priority 
1 - 5</v>
      </c>
      <c r="L397" s="761"/>
      <c r="M397" s="762"/>
      <c r="N397"/>
      <c r="P397"/>
      <c r="R397"/>
      <c r="S397" s="2"/>
      <c r="U397" s="10"/>
      <c r="Y397"/>
      <c r="Z397"/>
      <c r="AA397"/>
      <c r="AB397"/>
      <c r="AC397"/>
      <c r="AD397"/>
      <c r="AE397"/>
      <c r="AF397"/>
    </row>
    <row r="398" spans="2:32" s="4" customFormat="1" ht="24" hidden="1" customHeight="1" outlineLevel="1">
      <c r="B398" s="778"/>
      <c r="C398" s="779"/>
      <c r="D398" s="779"/>
      <c r="E398" s="779"/>
      <c r="F398" s="780"/>
      <c r="G398" s="238" t="s">
        <v>1946</v>
      </c>
      <c r="H398" s="333" t="s">
        <v>2124</v>
      </c>
      <c r="I398" s="776" t="s">
        <v>2141</v>
      </c>
      <c r="J398" s="169" t="s">
        <v>1449</v>
      </c>
      <c r="K398" s="167">
        <v>4</v>
      </c>
      <c r="L398" s="453">
        <f>(E$266*E$268*M398)/1000000</f>
        <v>0.112</v>
      </c>
      <c r="M398" s="345">
        <v>16</v>
      </c>
      <c r="N398"/>
      <c r="O398" s="2"/>
      <c r="P398"/>
      <c r="Q398" s="2"/>
      <c r="R398"/>
      <c r="S398" s="2"/>
      <c r="U398" s="10"/>
      <c r="Y398"/>
      <c r="Z398"/>
      <c r="AA398"/>
      <c r="AB398"/>
      <c r="AC398"/>
      <c r="AD398"/>
      <c r="AE398"/>
      <c r="AF398"/>
    </row>
    <row r="399" spans="2:32" s="4" customFormat="1" ht="24" hidden="1" customHeight="1" outlineLevel="1">
      <c r="B399" s="781"/>
      <c r="C399" s="782"/>
      <c r="D399" s="782"/>
      <c r="E399" s="782"/>
      <c r="F399" s="783"/>
      <c r="G399" s="238" t="s">
        <v>1947</v>
      </c>
      <c r="H399" s="333" t="s">
        <v>2124</v>
      </c>
      <c r="I399" s="776"/>
      <c r="J399" s="169" t="s">
        <v>1449</v>
      </c>
      <c r="K399" s="167">
        <v>4</v>
      </c>
      <c r="L399" s="453">
        <f t="shared" ref="L399:L400" si="44">(E$266*E$268*M399)/1000000</f>
        <v>4.2000000000000003E-2</v>
      </c>
      <c r="M399" s="345">
        <v>6</v>
      </c>
      <c r="N399"/>
      <c r="O399" s="2"/>
      <c r="P399"/>
      <c r="Q399" s="2"/>
      <c r="R399"/>
      <c r="S399" s="2"/>
      <c r="U399" s="10"/>
      <c r="Y399"/>
      <c r="Z399"/>
      <c r="AA399"/>
      <c r="AB399"/>
      <c r="AC399"/>
      <c r="AD399"/>
      <c r="AE399"/>
      <c r="AF399"/>
    </row>
    <row r="400" spans="2:32" s="4" customFormat="1" ht="24" hidden="1" customHeight="1" outlineLevel="1">
      <c r="B400" s="781"/>
      <c r="C400" s="782"/>
      <c r="D400" s="782"/>
      <c r="E400" s="782"/>
      <c r="F400" s="783"/>
      <c r="G400" s="238" t="s">
        <v>2036</v>
      </c>
      <c r="H400" s="333" t="s">
        <v>2124</v>
      </c>
      <c r="I400" s="776"/>
      <c r="J400" s="169" t="s">
        <v>1449</v>
      </c>
      <c r="K400" s="167">
        <v>4</v>
      </c>
      <c r="L400" s="453">
        <f t="shared" si="44"/>
        <v>0.112</v>
      </c>
      <c r="M400" s="345">
        <v>16</v>
      </c>
      <c r="N400"/>
      <c r="O400" s="2"/>
      <c r="P400"/>
      <c r="Q400" s="2"/>
      <c r="R400"/>
      <c r="S400" s="2"/>
      <c r="U400" s="10"/>
      <c r="Y400"/>
      <c r="Z400"/>
      <c r="AA400"/>
      <c r="AB400"/>
      <c r="AC400"/>
      <c r="AD400"/>
      <c r="AE400"/>
      <c r="AF400"/>
    </row>
    <row r="401" spans="2:32" s="4" customFormat="1" ht="24" hidden="1" customHeight="1" outlineLevel="1">
      <c r="B401" s="773"/>
      <c r="C401" s="774"/>
      <c r="D401" s="774"/>
      <c r="E401" s="774"/>
      <c r="F401" s="775"/>
      <c r="G401" s="271"/>
      <c r="H401" s="333"/>
      <c r="I401" s="776"/>
      <c r="J401" s="169"/>
      <c r="K401" s="167"/>
      <c r="L401" s="453">
        <f>(E$266*E$268*M401)/1000000</f>
        <v>0</v>
      </c>
      <c r="M401" s="345">
        <v>0</v>
      </c>
      <c r="N401"/>
      <c r="O401" s="2"/>
      <c r="P401"/>
      <c r="Q401" s="2"/>
      <c r="R401"/>
      <c r="S401" s="2"/>
      <c r="U401" s="10"/>
      <c r="Y401"/>
      <c r="Z401"/>
      <c r="AA401"/>
      <c r="AB401"/>
      <c r="AC401"/>
      <c r="AD401"/>
      <c r="AE401"/>
      <c r="AF401"/>
    </row>
    <row r="402" spans="2:32" s="4" customFormat="1" ht="24" hidden="1" customHeight="1" outlineLevel="1">
      <c r="B402" s="773"/>
      <c r="C402" s="774"/>
      <c r="D402" s="774"/>
      <c r="E402" s="774"/>
      <c r="F402" s="775"/>
      <c r="G402" s="272"/>
      <c r="H402" s="333"/>
      <c r="I402" s="776"/>
      <c r="J402" s="169"/>
      <c r="K402" s="167"/>
      <c r="L402" s="453">
        <f t="shared" ref="L402:L403" si="45">(E$266*E$268*M402)/1000000</f>
        <v>0</v>
      </c>
      <c r="M402" s="345">
        <v>0</v>
      </c>
      <c r="N402"/>
      <c r="O402" s="2"/>
      <c r="P402"/>
      <c r="Q402" s="2"/>
      <c r="R402"/>
      <c r="S402" s="2"/>
      <c r="U402" s="10"/>
      <c r="Y402"/>
      <c r="Z402"/>
      <c r="AA402"/>
      <c r="AB402"/>
      <c r="AC402"/>
      <c r="AD402"/>
      <c r="AE402"/>
      <c r="AF402"/>
    </row>
    <row r="403" spans="2:32" s="4" customFormat="1" ht="24" hidden="1" customHeight="1" outlineLevel="1" thickBot="1">
      <c r="B403" s="773"/>
      <c r="C403" s="774"/>
      <c r="D403" s="774"/>
      <c r="E403" s="774"/>
      <c r="F403" s="775"/>
      <c r="G403" s="459"/>
      <c r="H403" s="333"/>
      <c r="I403" s="777"/>
      <c r="J403" s="169"/>
      <c r="K403" s="167"/>
      <c r="L403" s="453">
        <f t="shared" si="45"/>
        <v>0</v>
      </c>
      <c r="M403" s="345">
        <v>0</v>
      </c>
      <c r="N403"/>
      <c r="O403" s="2"/>
      <c r="P403"/>
      <c r="Q403" s="2"/>
      <c r="R403"/>
      <c r="S403" s="2"/>
      <c r="U403" s="10"/>
      <c r="Y403"/>
      <c r="Z403"/>
      <c r="AA403"/>
      <c r="AB403"/>
      <c r="AC403"/>
      <c r="AD403"/>
      <c r="AE403"/>
      <c r="AF403"/>
    </row>
    <row r="404" spans="2:32" ht="15" customHeight="1" collapsed="1" thickBot="1">
      <c r="B404" s="163" t="s">
        <v>46</v>
      </c>
      <c r="C404" s="163"/>
      <c r="D404" s="163"/>
      <c r="E404" s="163"/>
      <c r="F404" s="163"/>
      <c r="G404" s="165"/>
      <c r="H404" s="12"/>
      <c r="I404" s="12"/>
      <c r="J404" s="12"/>
      <c r="K404" s="12"/>
      <c r="L404" s="370"/>
      <c r="M404" s="370"/>
      <c r="O404"/>
      <c r="P404"/>
      <c r="Q404" s="2"/>
      <c r="R404"/>
      <c r="S404" s="2"/>
      <c r="U404" s="10"/>
      <c r="V404" s="4"/>
      <c r="W404" s="4"/>
      <c r="X404" s="4"/>
    </row>
    <row r="405" spans="2:32" ht="28" customHeight="1" thickBot="1">
      <c r="B405" s="765" t="str">
        <f>B$2</f>
        <v>Damage Assessments for Sustainable Reconstruction in Ukraine</v>
      </c>
      <c r="C405" s="766"/>
      <c r="D405" s="766"/>
      <c r="E405" s="766"/>
      <c r="F405" s="766"/>
      <c r="G405" s="766"/>
      <c r="H405" s="766"/>
      <c r="I405" s="784" t="str">
        <f>I$2</f>
        <v>Irpin Urban Area</v>
      </c>
      <c r="J405" s="785"/>
      <c r="K405" s="786"/>
      <c r="L405" s="371" t="str">
        <f>L$74</f>
        <v>27Jan23</v>
      </c>
      <c r="M405" s="164">
        <v>19</v>
      </c>
      <c r="P405"/>
      <c r="Q405" s="2"/>
      <c r="R405"/>
      <c r="S405" s="2"/>
      <c r="T405"/>
      <c r="V405" s="4"/>
      <c r="W405" s="4"/>
      <c r="X405" s="4"/>
    </row>
    <row r="406" spans="2:32" ht="27" customHeight="1">
      <c r="B406" s="938" t="str">
        <f>Languages!$C$187&amp;" 3"</f>
        <v>Public and private transport 3</v>
      </c>
      <c r="C406" s="939"/>
      <c r="D406" s="787" t="str">
        <f>Languages!$N$176</f>
        <v>Information on main asset &amp; sub-assets</v>
      </c>
      <c r="E406" s="788" t="str">
        <f>Languages!$I$188</f>
        <v>Area and/or quantity assessed</v>
      </c>
      <c r="F406" s="789"/>
      <c r="G406" s="792" t="str">
        <f>Languages!$M$194</f>
        <v>Enter info on type and area / quantity of assets, type and extent of damage.</v>
      </c>
      <c r="H406" s="793"/>
      <c r="I406" s="796" t="s">
        <v>2118</v>
      </c>
      <c r="J406" s="798" t="str">
        <f>Languages!$K$177</f>
        <v>Approx. repair costs, priority 4 &amp; 5 assets, m. Euro</v>
      </c>
      <c r="K406" s="799"/>
      <c r="L406" s="372">
        <f>IF(K410&gt;3,L411)+IF(K419&gt;3,L420)</f>
        <v>76</v>
      </c>
      <c r="M406" s="368" t="s">
        <v>1966</v>
      </c>
      <c r="P406"/>
      <c r="Q406" s="2"/>
      <c r="R406"/>
      <c r="S406" s="2"/>
      <c r="T406"/>
      <c r="V406" s="4"/>
      <c r="W406" s="4"/>
      <c r="X406" s="4"/>
    </row>
    <row r="407" spans="2:32" ht="27" customHeight="1">
      <c r="B407" s="940"/>
      <c r="C407" s="941"/>
      <c r="D407" s="768"/>
      <c r="E407" s="790"/>
      <c r="F407" s="791"/>
      <c r="G407" s="794"/>
      <c r="H407" s="795"/>
      <c r="I407" s="797"/>
      <c r="J407" s="800" t="str">
        <f>Languages!$K$176</f>
        <v>Approx. total repair costs, m. Euro</v>
      </c>
      <c r="K407" s="801"/>
      <c r="L407" s="373">
        <f>(L411+L420)</f>
        <v>76</v>
      </c>
      <c r="M407" s="369" t="s">
        <v>1966</v>
      </c>
      <c r="P407"/>
      <c r="Q407" s="2"/>
      <c r="R407"/>
      <c r="S407" s="2"/>
      <c r="U407" s="10"/>
      <c r="V407" s="4"/>
      <c r="W407" s="4"/>
      <c r="X407" s="4"/>
    </row>
    <row r="408" spans="2:32" ht="23" customHeight="1">
      <c r="B408" s="940"/>
      <c r="C408" s="941"/>
      <c r="D408" s="768"/>
      <c r="E408" s="802" t="s">
        <v>1546</v>
      </c>
      <c r="F408" s="804" t="str">
        <f>Languages!$N$178</f>
        <v>Unit type</v>
      </c>
      <c r="G408" s="769" t="str">
        <f>G$77</f>
        <v>Asset or Component</v>
      </c>
      <c r="H408" s="767" t="s">
        <v>2251</v>
      </c>
      <c r="I408" s="331" t="s">
        <v>2117</v>
      </c>
      <c r="J408" s="771" t="str">
        <f>Languages!$K$178</f>
        <v>Actions</v>
      </c>
      <c r="K408" s="772"/>
      <c r="L408" s="763" t="s">
        <v>1550</v>
      </c>
      <c r="M408" s="764"/>
      <c r="P408"/>
      <c r="Q408" s="2"/>
      <c r="R408"/>
      <c r="S408" s="2"/>
      <c r="U408" s="10"/>
      <c r="V408" s="4"/>
      <c r="W408" s="4"/>
      <c r="X408" s="4"/>
    </row>
    <row r="409" spans="2:32" s="4" customFormat="1" ht="27" customHeight="1" thickBot="1">
      <c r="B409" s="940"/>
      <c r="C409" s="941"/>
      <c r="D409" s="768"/>
      <c r="E409" s="803"/>
      <c r="F409" s="805"/>
      <c r="G409" s="770"/>
      <c r="H409" s="768"/>
      <c r="I409" s="330" t="str">
        <f>Languages!$E$190</f>
        <v>Social Impact level</v>
      </c>
      <c r="J409" s="492" t="str">
        <f>Languages!$K$185</f>
        <v>Action required</v>
      </c>
      <c r="K409" s="504" t="str">
        <f>Languages!$G$193</f>
        <v>Priority 
1 - 5</v>
      </c>
      <c r="L409" s="541" t="s">
        <v>1551</v>
      </c>
      <c r="M409" s="543" t="s">
        <v>1774</v>
      </c>
      <c r="N409"/>
      <c r="P409"/>
      <c r="R409"/>
      <c r="S409" s="2"/>
      <c r="U409" s="10"/>
      <c r="Y409"/>
      <c r="Z409"/>
      <c r="AA409"/>
      <c r="AB409"/>
      <c r="AC409"/>
      <c r="AD409"/>
      <c r="AE409"/>
      <c r="AF409"/>
    </row>
    <row r="410" spans="2:32" s="4" customFormat="1" ht="26" customHeight="1">
      <c r="B410" s="739" t="str">
        <f>Languages!$C$245</f>
        <v>Inter-urban train station</v>
      </c>
      <c r="C410" s="740"/>
      <c r="D410" s="553" t="s">
        <v>2178</v>
      </c>
      <c r="E410" s="817">
        <v>5</v>
      </c>
      <c r="F410" s="818"/>
      <c r="G410" s="711" t="str">
        <f>G$11</f>
        <v>Asset / Component</v>
      </c>
      <c r="H410" s="734" t="s">
        <v>2123</v>
      </c>
      <c r="I410" s="545" t="s">
        <v>2103</v>
      </c>
      <c r="J410" s="711" t="s">
        <v>2212</v>
      </c>
      <c r="K410" s="807">
        <f>SUM(K413:K416)/4</f>
        <v>3.75</v>
      </c>
      <c r="L410" s="546" t="s">
        <v>2214</v>
      </c>
      <c r="M410" s="757"/>
      <c r="N410"/>
      <c r="P410"/>
      <c r="R410"/>
      <c r="S410" s="2"/>
      <c r="U410" s="10"/>
      <c r="Y410"/>
      <c r="Z410"/>
      <c r="AA410"/>
      <c r="AB410"/>
      <c r="AC410"/>
      <c r="AD410"/>
      <c r="AE410"/>
      <c r="AF410"/>
    </row>
    <row r="411" spans="2:32" s="4" customFormat="1" ht="23" customHeight="1" thickBot="1">
      <c r="B411" s="741"/>
      <c r="C411" s="742"/>
      <c r="D411" s="569" t="s">
        <v>1782</v>
      </c>
      <c r="E411" s="759">
        <f>E410*E412</f>
        <v>5000</v>
      </c>
      <c r="F411" s="760"/>
      <c r="G411" s="806"/>
      <c r="H411" s="914"/>
      <c r="I411" s="567" t="s">
        <v>2120</v>
      </c>
      <c r="J411" s="806"/>
      <c r="K411" s="808"/>
      <c r="L411" s="570">
        <f>SUM(M413:M415)</f>
        <v>38</v>
      </c>
      <c r="M411" s="758"/>
      <c r="N411"/>
      <c r="P411"/>
      <c r="R411"/>
      <c r="S411" s="2"/>
      <c r="U411" s="10"/>
      <c r="Y411"/>
      <c r="Z411"/>
      <c r="AA411"/>
      <c r="AB411"/>
      <c r="AC411"/>
      <c r="AD411"/>
      <c r="AE411"/>
      <c r="AF411"/>
    </row>
    <row r="412" spans="2:32" s="4" customFormat="1" ht="24" hidden="1" customHeight="1" outlineLevel="1">
      <c r="B412" s="475"/>
      <c r="C412" s="476"/>
      <c r="D412" s="554" t="s">
        <v>1783</v>
      </c>
      <c r="E412" s="557">
        <v>1000</v>
      </c>
      <c r="F412" s="339" t="s">
        <v>1564</v>
      </c>
      <c r="G412" s="461" t="s">
        <v>2130</v>
      </c>
      <c r="H412" s="523" t="s">
        <v>2250</v>
      </c>
      <c r="I412" s="324"/>
      <c r="J412" s="523" t="s">
        <v>28</v>
      </c>
      <c r="K412" s="524" t="str">
        <f>Languages!$G$193</f>
        <v>Priority 
1 - 5</v>
      </c>
      <c r="L412" s="761"/>
      <c r="M412" s="762"/>
      <c r="N412"/>
      <c r="P412"/>
      <c r="R412"/>
      <c r="S412" s="2"/>
      <c r="U412" s="10"/>
      <c r="Y412"/>
      <c r="Z412"/>
      <c r="AA412"/>
      <c r="AB412"/>
      <c r="AC412"/>
      <c r="AD412"/>
      <c r="AE412"/>
      <c r="AF412"/>
    </row>
    <row r="413" spans="2:32" s="4" customFormat="1" ht="24" hidden="1" customHeight="1" outlineLevel="1">
      <c r="B413" s="778"/>
      <c r="C413" s="779"/>
      <c r="D413" s="779"/>
      <c r="E413" s="779"/>
      <c r="F413" s="780"/>
      <c r="G413" s="238" t="s">
        <v>1946</v>
      </c>
      <c r="H413" s="333" t="s">
        <v>2124</v>
      </c>
      <c r="I413" s="776" t="s">
        <v>2141</v>
      </c>
      <c r="J413" s="169" t="s">
        <v>1449</v>
      </c>
      <c r="K413" s="167">
        <v>4</v>
      </c>
      <c r="L413" s="453">
        <f>(E$410*E$412*M413)/1000000</f>
        <v>0.08</v>
      </c>
      <c r="M413" s="345">
        <v>16</v>
      </c>
      <c r="N413"/>
      <c r="P413"/>
      <c r="R413"/>
      <c r="S413" s="2"/>
      <c r="U413" s="10"/>
      <c r="Y413"/>
      <c r="Z413"/>
      <c r="AA413"/>
      <c r="AB413"/>
      <c r="AC413"/>
      <c r="AD413"/>
      <c r="AE413"/>
      <c r="AF413"/>
    </row>
    <row r="414" spans="2:32" s="4" customFormat="1" ht="24" hidden="1" customHeight="1" outlineLevel="1">
      <c r="B414" s="781"/>
      <c r="C414" s="782"/>
      <c r="D414" s="782"/>
      <c r="E414" s="782"/>
      <c r="F414" s="783"/>
      <c r="G414" s="238" t="s">
        <v>1947</v>
      </c>
      <c r="H414" s="333" t="s">
        <v>2124</v>
      </c>
      <c r="I414" s="776"/>
      <c r="J414" s="169" t="s">
        <v>1449</v>
      </c>
      <c r="K414" s="167">
        <v>4</v>
      </c>
      <c r="L414" s="453">
        <f t="shared" ref="L414:L418" si="46">(E$410*E$412*M414)/1000000</f>
        <v>0.03</v>
      </c>
      <c r="M414" s="345">
        <v>6</v>
      </c>
      <c r="N414"/>
      <c r="P414"/>
      <c r="R414"/>
      <c r="S414" s="2"/>
      <c r="U414" s="10"/>
      <c r="Y414"/>
      <c r="Z414"/>
      <c r="AA414"/>
      <c r="AB414"/>
      <c r="AC414"/>
      <c r="AD414"/>
      <c r="AE414"/>
      <c r="AF414"/>
    </row>
    <row r="415" spans="2:32" s="4" customFormat="1" ht="24" hidden="1" customHeight="1" outlineLevel="1">
      <c r="B415" s="781"/>
      <c r="C415" s="782"/>
      <c r="D415" s="782"/>
      <c r="E415" s="782"/>
      <c r="F415" s="783"/>
      <c r="G415" s="238" t="s">
        <v>2036</v>
      </c>
      <c r="H415" s="333" t="s">
        <v>2124</v>
      </c>
      <c r="I415" s="776"/>
      <c r="J415" s="169" t="s">
        <v>1449</v>
      </c>
      <c r="K415" s="167">
        <v>4</v>
      </c>
      <c r="L415" s="453">
        <f t="shared" si="46"/>
        <v>0.08</v>
      </c>
      <c r="M415" s="345">
        <v>16</v>
      </c>
      <c r="N415"/>
      <c r="P415"/>
      <c r="R415"/>
      <c r="S415" s="2"/>
      <c r="U415" s="10"/>
      <c r="Y415"/>
      <c r="Z415"/>
      <c r="AA415"/>
      <c r="AB415"/>
      <c r="AC415"/>
      <c r="AD415"/>
      <c r="AE415"/>
      <c r="AF415"/>
    </row>
    <row r="416" spans="2:32" s="4" customFormat="1" ht="24" hidden="1" customHeight="1" outlineLevel="1">
      <c r="B416" s="773" t="s">
        <v>2235</v>
      </c>
      <c r="C416" s="774"/>
      <c r="D416" s="774"/>
      <c r="E416" s="774"/>
      <c r="F416" s="775"/>
      <c r="G416" s="271" t="s">
        <v>2234</v>
      </c>
      <c r="H416" s="333" t="s">
        <v>2124</v>
      </c>
      <c r="I416" s="776"/>
      <c r="J416" s="169" t="s">
        <v>1449</v>
      </c>
      <c r="K416" s="167">
        <v>3</v>
      </c>
      <c r="L416" s="489">
        <f>E$410*150000/1000000</f>
        <v>0.75</v>
      </c>
      <c r="M416" s="488"/>
      <c r="N416"/>
      <c r="O416" s="2"/>
      <c r="P416"/>
      <c r="Q416" s="2"/>
      <c r="R416"/>
      <c r="S416" s="2"/>
      <c r="U416" s="10"/>
      <c r="Y416"/>
      <c r="Z416"/>
      <c r="AA416"/>
      <c r="AB416"/>
      <c r="AC416"/>
      <c r="AD416"/>
      <c r="AE416"/>
      <c r="AF416"/>
    </row>
    <row r="417" spans="2:32" s="4" customFormat="1" ht="24" hidden="1" customHeight="1" outlineLevel="1">
      <c r="B417" s="773"/>
      <c r="C417" s="774"/>
      <c r="D417" s="774"/>
      <c r="E417" s="774"/>
      <c r="F417" s="775"/>
      <c r="G417" s="272"/>
      <c r="H417" s="333"/>
      <c r="I417" s="776"/>
      <c r="J417" s="169"/>
      <c r="K417" s="167"/>
      <c r="L417" s="453">
        <f t="shared" si="46"/>
        <v>0</v>
      </c>
      <c r="M417" s="345">
        <v>0</v>
      </c>
      <c r="N417"/>
      <c r="O417" s="2"/>
      <c r="P417"/>
      <c r="Q417" s="2"/>
      <c r="R417"/>
      <c r="S417" s="2"/>
      <c r="U417" s="10"/>
      <c r="Y417"/>
      <c r="Z417"/>
      <c r="AA417"/>
      <c r="AB417"/>
      <c r="AC417"/>
      <c r="AD417"/>
      <c r="AE417"/>
      <c r="AF417"/>
    </row>
    <row r="418" spans="2:32" s="4" customFormat="1" ht="24" hidden="1" customHeight="1" outlineLevel="1" thickBot="1">
      <c r="B418" s="773"/>
      <c r="C418" s="774"/>
      <c r="D418" s="774"/>
      <c r="E418" s="774"/>
      <c r="F418" s="775"/>
      <c r="G418" s="459"/>
      <c r="H418" s="513"/>
      <c r="I418" s="776"/>
      <c r="J418" s="169"/>
      <c r="K418" s="456"/>
      <c r="L418" s="548">
        <f t="shared" si="46"/>
        <v>0</v>
      </c>
      <c r="M418" s="356">
        <v>0</v>
      </c>
      <c r="N418"/>
      <c r="O418" s="2"/>
      <c r="P418"/>
      <c r="Q418" s="2"/>
      <c r="R418"/>
      <c r="S418" s="2"/>
      <c r="U418" s="10"/>
      <c r="Y418"/>
      <c r="Z418"/>
      <c r="AA418"/>
      <c r="AB418"/>
      <c r="AC418"/>
      <c r="AD418"/>
      <c r="AE418"/>
      <c r="AF418"/>
    </row>
    <row r="419" spans="2:32" ht="27" customHeight="1" collapsed="1">
      <c r="B419" s="739" t="str">
        <f>Languages!$C$246</f>
        <v>Local light rail station</v>
      </c>
      <c r="C419" s="740"/>
      <c r="D419" s="553" t="s">
        <v>2178</v>
      </c>
      <c r="E419" s="817">
        <v>8</v>
      </c>
      <c r="F419" s="818"/>
      <c r="G419" s="711" t="str">
        <f>G$11</f>
        <v>Asset / Component</v>
      </c>
      <c r="H419" s="734" t="s">
        <v>2123</v>
      </c>
      <c r="I419" s="545" t="s">
        <v>2103</v>
      </c>
      <c r="J419" s="711" t="s">
        <v>2212</v>
      </c>
      <c r="K419" s="807">
        <f>SUM(K422:K425)/4</f>
        <v>3.75</v>
      </c>
      <c r="L419" s="546" t="s">
        <v>2214</v>
      </c>
      <c r="M419" s="757"/>
      <c r="P419"/>
      <c r="Q419" s="2"/>
      <c r="R419"/>
      <c r="S419"/>
      <c r="T419"/>
    </row>
    <row r="420" spans="2:32" ht="23" customHeight="1" thickBot="1">
      <c r="B420" s="741"/>
      <c r="C420" s="742"/>
      <c r="D420" s="569" t="s">
        <v>1563</v>
      </c>
      <c r="E420" s="759">
        <f>E419*E421</f>
        <v>880</v>
      </c>
      <c r="F420" s="760"/>
      <c r="G420" s="806"/>
      <c r="H420" s="914"/>
      <c r="I420" s="567" t="s">
        <v>2120</v>
      </c>
      <c r="J420" s="806"/>
      <c r="K420" s="808"/>
      <c r="L420" s="570">
        <f>SUM(M422:M424)</f>
        <v>38</v>
      </c>
      <c r="M420" s="758"/>
      <c r="P420"/>
      <c r="Q420" s="2"/>
      <c r="R420"/>
      <c r="S420"/>
      <c r="T420"/>
    </row>
    <row r="421" spans="2:32" s="4" customFormat="1" ht="24" hidden="1" customHeight="1" outlineLevel="1">
      <c r="B421" s="475"/>
      <c r="C421" s="476"/>
      <c r="D421" s="554" t="s">
        <v>1565</v>
      </c>
      <c r="E421" s="560">
        <v>110</v>
      </c>
      <c r="F421" s="339" t="s">
        <v>1564</v>
      </c>
      <c r="G421" s="461" t="s">
        <v>2130</v>
      </c>
      <c r="H421" s="523" t="s">
        <v>2250</v>
      </c>
      <c r="I421" s="324"/>
      <c r="J421" s="523" t="s">
        <v>28</v>
      </c>
      <c r="K421" s="524" t="str">
        <f>Languages!$G$193</f>
        <v>Priority 
1 - 5</v>
      </c>
      <c r="L421" s="761"/>
      <c r="M421" s="762"/>
      <c r="N421"/>
      <c r="P421"/>
      <c r="R421"/>
      <c r="S421" s="2"/>
      <c r="U421" s="10"/>
      <c r="Y421"/>
      <c r="Z421"/>
      <c r="AA421"/>
      <c r="AB421"/>
      <c r="AC421"/>
      <c r="AD421"/>
      <c r="AE421"/>
      <c r="AF421"/>
    </row>
    <row r="422" spans="2:32" s="4" customFormat="1" ht="24" hidden="1" customHeight="1" outlineLevel="1">
      <c r="B422" s="778"/>
      <c r="C422" s="779"/>
      <c r="D422" s="779"/>
      <c r="E422" s="779"/>
      <c r="F422" s="780"/>
      <c r="G422" s="238" t="s">
        <v>1946</v>
      </c>
      <c r="H422" s="333" t="s">
        <v>2124</v>
      </c>
      <c r="I422" s="776" t="s">
        <v>2141</v>
      </c>
      <c r="J422" s="169" t="s">
        <v>1449</v>
      </c>
      <c r="K422" s="167">
        <v>4</v>
      </c>
      <c r="L422" s="453">
        <f>(E$266*E$268*M422)/1000000</f>
        <v>0.112</v>
      </c>
      <c r="M422" s="345">
        <v>16</v>
      </c>
      <c r="N422"/>
      <c r="O422" s="2"/>
      <c r="P422"/>
      <c r="Q422" s="2"/>
      <c r="R422"/>
      <c r="S422" s="2"/>
      <c r="U422" s="10"/>
      <c r="Y422"/>
      <c r="Z422"/>
      <c r="AA422"/>
      <c r="AB422"/>
      <c r="AC422"/>
      <c r="AD422"/>
      <c r="AE422"/>
      <c r="AF422"/>
    </row>
    <row r="423" spans="2:32" s="4" customFormat="1" ht="24" hidden="1" customHeight="1" outlineLevel="1">
      <c r="B423" s="781"/>
      <c r="C423" s="782"/>
      <c r="D423" s="782"/>
      <c r="E423" s="782"/>
      <c r="F423" s="783"/>
      <c r="G423" s="238" t="s">
        <v>1947</v>
      </c>
      <c r="H423" s="333" t="s">
        <v>2124</v>
      </c>
      <c r="I423" s="776"/>
      <c r="J423" s="169" t="s">
        <v>1449</v>
      </c>
      <c r="K423" s="167">
        <v>4</v>
      </c>
      <c r="L423" s="453">
        <f t="shared" ref="L423:L424" si="47">(E$266*E$268*M423)/1000000</f>
        <v>4.2000000000000003E-2</v>
      </c>
      <c r="M423" s="345">
        <v>6</v>
      </c>
      <c r="N423"/>
      <c r="O423" s="2"/>
      <c r="P423"/>
      <c r="Q423" s="2"/>
      <c r="R423"/>
      <c r="S423" s="2"/>
      <c r="U423" s="10"/>
      <c r="Y423"/>
      <c r="Z423"/>
      <c r="AA423"/>
      <c r="AB423"/>
      <c r="AC423"/>
      <c r="AD423"/>
      <c r="AE423"/>
      <c r="AF423"/>
    </row>
    <row r="424" spans="2:32" s="4" customFormat="1" ht="24" hidden="1" customHeight="1" outlineLevel="1">
      <c r="B424" s="781"/>
      <c r="C424" s="782"/>
      <c r="D424" s="782"/>
      <c r="E424" s="782"/>
      <c r="F424" s="783"/>
      <c r="G424" s="238" t="s">
        <v>2036</v>
      </c>
      <c r="H424" s="333" t="s">
        <v>2124</v>
      </c>
      <c r="I424" s="776"/>
      <c r="J424" s="169" t="s">
        <v>1449</v>
      </c>
      <c r="K424" s="167">
        <v>4</v>
      </c>
      <c r="L424" s="453">
        <f t="shared" si="47"/>
        <v>0.112</v>
      </c>
      <c r="M424" s="345">
        <v>16</v>
      </c>
      <c r="N424"/>
      <c r="O424" s="2"/>
      <c r="P424"/>
      <c r="Q424" s="2"/>
      <c r="R424"/>
      <c r="S424" s="2"/>
      <c r="U424" s="10"/>
      <c r="Y424"/>
      <c r="Z424"/>
      <c r="AA424"/>
      <c r="AB424"/>
      <c r="AC424"/>
      <c r="AD424"/>
      <c r="AE424"/>
      <c r="AF424"/>
    </row>
    <row r="425" spans="2:32" s="4" customFormat="1" ht="24" hidden="1" customHeight="1" outlineLevel="1">
      <c r="B425" s="773" t="s">
        <v>2236</v>
      </c>
      <c r="C425" s="774"/>
      <c r="D425" s="774"/>
      <c r="E425" s="774"/>
      <c r="F425" s="775"/>
      <c r="G425" s="271" t="s">
        <v>2234</v>
      </c>
      <c r="H425" s="333" t="s">
        <v>2124</v>
      </c>
      <c r="I425" s="776"/>
      <c r="J425" s="169" t="s">
        <v>1449</v>
      </c>
      <c r="K425" s="167">
        <v>3</v>
      </c>
      <c r="L425" s="489">
        <f>E$410*50000/1000000</f>
        <v>0.25</v>
      </c>
      <c r="M425" s="488"/>
      <c r="N425"/>
      <c r="O425" s="2"/>
      <c r="P425"/>
      <c r="Q425" s="2"/>
      <c r="R425"/>
      <c r="S425" s="2"/>
      <c r="U425" s="10"/>
      <c r="Y425"/>
      <c r="Z425"/>
      <c r="AA425"/>
      <c r="AB425"/>
      <c r="AC425"/>
      <c r="AD425"/>
      <c r="AE425"/>
      <c r="AF425"/>
    </row>
    <row r="426" spans="2:32" s="4" customFormat="1" ht="24" hidden="1" customHeight="1" outlineLevel="1">
      <c r="B426" s="773"/>
      <c r="C426" s="774"/>
      <c r="D426" s="774"/>
      <c r="E426" s="774"/>
      <c r="F426" s="775"/>
      <c r="G426" s="272"/>
      <c r="H426" s="333"/>
      <c r="I426" s="776"/>
      <c r="J426" s="169"/>
      <c r="K426" s="167"/>
      <c r="L426" s="453">
        <f t="shared" ref="L426:L427" si="48">(E$410*E$412*M426)/1000000</f>
        <v>0</v>
      </c>
      <c r="M426" s="345">
        <v>0</v>
      </c>
      <c r="N426"/>
      <c r="O426" s="2"/>
      <c r="P426"/>
      <c r="Q426" s="2"/>
      <c r="R426"/>
      <c r="S426" s="2"/>
      <c r="U426" s="10"/>
      <c r="Y426"/>
      <c r="Z426"/>
      <c r="AA426"/>
      <c r="AB426"/>
      <c r="AC426"/>
      <c r="AD426"/>
      <c r="AE426"/>
      <c r="AF426"/>
    </row>
    <row r="427" spans="2:32" s="4" customFormat="1" ht="24" hidden="1" customHeight="1" outlineLevel="1" thickBot="1">
      <c r="B427" s="773"/>
      <c r="C427" s="774"/>
      <c r="D427" s="774"/>
      <c r="E427" s="774"/>
      <c r="F427" s="775"/>
      <c r="G427" s="459"/>
      <c r="H427" s="333"/>
      <c r="I427" s="777"/>
      <c r="J427" s="169"/>
      <c r="K427" s="167"/>
      <c r="L427" s="453">
        <f t="shared" si="48"/>
        <v>0</v>
      </c>
      <c r="M427" s="345">
        <v>0</v>
      </c>
      <c r="N427"/>
      <c r="O427" s="2"/>
      <c r="P427"/>
      <c r="Q427" s="2"/>
      <c r="R427"/>
      <c r="S427" s="2"/>
      <c r="U427" s="10"/>
      <c r="Y427"/>
      <c r="Z427"/>
      <c r="AA427"/>
      <c r="AB427"/>
      <c r="AC427"/>
      <c r="AD427"/>
      <c r="AE427"/>
      <c r="AF427"/>
    </row>
    <row r="428" spans="2:32" ht="15" customHeight="1" collapsed="1" thickBot="1">
      <c r="B428" s="163" t="s">
        <v>46</v>
      </c>
      <c r="C428" s="163"/>
      <c r="D428" s="163"/>
      <c r="E428" s="163"/>
      <c r="F428" s="163"/>
      <c r="G428" s="165"/>
      <c r="H428" s="12"/>
      <c r="I428" s="12"/>
      <c r="J428" s="12"/>
      <c r="K428" s="12"/>
      <c r="L428" s="370"/>
      <c r="M428" s="370"/>
      <c r="O428"/>
      <c r="P428"/>
      <c r="Q428" s="2"/>
      <c r="R428"/>
      <c r="S428" s="2"/>
      <c r="U428" s="10"/>
      <c r="V428" s="4"/>
      <c r="W428" s="4"/>
      <c r="X428" s="4"/>
    </row>
    <row r="429" spans="2:32" ht="28" customHeight="1" thickBot="1">
      <c r="B429" s="765" t="str">
        <f>B$2</f>
        <v>Damage Assessments for Sustainable Reconstruction in Ukraine</v>
      </c>
      <c r="C429" s="766"/>
      <c r="D429" s="766"/>
      <c r="E429" s="766"/>
      <c r="F429" s="766"/>
      <c r="G429" s="766"/>
      <c r="H429" s="766"/>
      <c r="I429" s="784" t="str">
        <f>I$2</f>
        <v>Irpin Urban Area</v>
      </c>
      <c r="J429" s="785"/>
      <c r="K429" s="786"/>
      <c r="L429" s="371" t="str">
        <f>L$74</f>
        <v>27Jan23</v>
      </c>
      <c r="M429" s="164">
        <v>20</v>
      </c>
      <c r="P429"/>
      <c r="Q429" s="2"/>
      <c r="R429"/>
      <c r="S429" s="2"/>
      <c r="T429"/>
      <c r="V429" s="4"/>
      <c r="W429" s="4"/>
      <c r="X429" s="4"/>
    </row>
    <row r="430" spans="2:32" ht="27" customHeight="1">
      <c r="B430" s="938" t="str">
        <f>Languages!$C$187&amp;" 4"</f>
        <v>Public and private transport 4</v>
      </c>
      <c r="C430" s="939"/>
      <c r="D430" s="787" t="str">
        <f>Languages!$N$176</f>
        <v>Information on main asset &amp; sub-assets</v>
      </c>
      <c r="E430" s="788" t="str">
        <f>Languages!$I$188</f>
        <v>Area and/or quantity assessed</v>
      </c>
      <c r="F430" s="789"/>
      <c r="G430" s="792" t="str">
        <f>Languages!$M$194</f>
        <v>Enter info on type and area / quantity of assets, type and extent of damage.</v>
      </c>
      <c r="H430" s="793"/>
      <c r="I430" s="796" t="s">
        <v>2118</v>
      </c>
      <c r="J430" s="798" t="str">
        <f>Languages!$K$177</f>
        <v>Approx. repair costs, priority 4 &amp; 5 assets, m. Euro</v>
      </c>
      <c r="K430" s="799"/>
      <c r="L430" s="372">
        <f>IF(K434&gt;3,L435)+IF(K443&gt;3,L444)</f>
        <v>72</v>
      </c>
      <c r="M430" s="368" t="s">
        <v>1966</v>
      </c>
      <c r="P430"/>
      <c r="Q430" s="2"/>
      <c r="R430"/>
      <c r="S430" s="2"/>
      <c r="T430"/>
      <c r="V430" s="4"/>
      <c r="W430" s="4"/>
      <c r="X430" s="4"/>
    </row>
    <row r="431" spans="2:32" ht="27" customHeight="1">
      <c r="B431" s="940"/>
      <c r="C431" s="941"/>
      <c r="D431" s="768"/>
      <c r="E431" s="790"/>
      <c r="F431" s="791"/>
      <c r="G431" s="794"/>
      <c r="H431" s="795"/>
      <c r="I431" s="797"/>
      <c r="J431" s="800" t="str">
        <f>Languages!$K$176</f>
        <v>Approx. total repair costs, m. Euro</v>
      </c>
      <c r="K431" s="801"/>
      <c r="L431" s="373">
        <f>(L435+L444)</f>
        <v>72</v>
      </c>
      <c r="M431" s="369" t="s">
        <v>1966</v>
      </c>
      <c r="P431"/>
      <c r="Q431" s="2"/>
      <c r="R431"/>
      <c r="S431" s="2"/>
      <c r="U431" s="10"/>
      <c r="V431" s="4"/>
      <c r="W431" s="4"/>
      <c r="X431" s="4"/>
    </row>
    <row r="432" spans="2:32" ht="23" customHeight="1">
      <c r="B432" s="940"/>
      <c r="C432" s="941"/>
      <c r="D432" s="768"/>
      <c r="E432" s="802" t="s">
        <v>1546</v>
      </c>
      <c r="F432" s="804" t="str">
        <f>Languages!$N$178</f>
        <v>Unit type</v>
      </c>
      <c r="G432" s="769" t="str">
        <f>G$77</f>
        <v>Asset or Component</v>
      </c>
      <c r="H432" s="767" t="s">
        <v>2251</v>
      </c>
      <c r="I432" s="331" t="s">
        <v>2117</v>
      </c>
      <c r="J432" s="771" t="str">
        <f>Languages!$K$178</f>
        <v>Actions</v>
      </c>
      <c r="K432" s="772"/>
      <c r="L432" s="763" t="s">
        <v>1550</v>
      </c>
      <c r="M432" s="764"/>
      <c r="P432"/>
      <c r="Q432" s="2"/>
      <c r="R432"/>
      <c r="S432" s="2"/>
      <c r="U432" s="10"/>
      <c r="V432" s="4"/>
      <c r="W432" s="4"/>
      <c r="X432" s="4"/>
    </row>
    <row r="433" spans="2:32" s="4" customFormat="1" ht="27" customHeight="1" thickBot="1">
      <c r="B433" s="940"/>
      <c r="C433" s="941"/>
      <c r="D433" s="768"/>
      <c r="E433" s="803"/>
      <c r="F433" s="805"/>
      <c r="G433" s="770"/>
      <c r="H433" s="768"/>
      <c r="I433" s="330" t="str">
        <f>Languages!$E$190</f>
        <v>Social Impact level</v>
      </c>
      <c r="J433" s="492" t="str">
        <f>Languages!$K$185</f>
        <v>Action required</v>
      </c>
      <c r="K433" s="504" t="str">
        <f>Languages!$G$193</f>
        <v>Priority 
1 - 5</v>
      </c>
      <c r="L433" s="541" t="s">
        <v>1551</v>
      </c>
      <c r="M433" s="543" t="s">
        <v>1774</v>
      </c>
      <c r="N433"/>
      <c r="P433"/>
      <c r="R433"/>
      <c r="S433" s="2"/>
      <c r="U433" s="10"/>
      <c r="Y433"/>
      <c r="Z433"/>
      <c r="AA433"/>
      <c r="AB433"/>
      <c r="AC433"/>
      <c r="AD433"/>
      <c r="AE433"/>
      <c r="AF433"/>
    </row>
    <row r="434" spans="2:32" ht="25" customHeight="1">
      <c r="B434" s="739" t="str">
        <f>Languages!$C$247</f>
        <v>Highway</v>
      </c>
      <c r="C434" s="740"/>
      <c r="D434" s="553" t="s">
        <v>2178</v>
      </c>
      <c r="E434" s="817">
        <v>4</v>
      </c>
      <c r="F434" s="818"/>
      <c r="G434" s="711" t="str">
        <f>G$11</f>
        <v>Asset / Component</v>
      </c>
      <c r="H434" s="734" t="s">
        <v>2123</v>
      </c>
      <c r="I434" s="545" t="s">
        <v>2103</v>
      </c>
      <c r="J434" s="711" t="s">
        <v>2212</v>
      </c>
      <c r="K434" s="807">
        <f>SUM(K437:K440)/4</f>
        <v>4</v>
      </c>
      <c r="L434" s="546" t="s">
        <v>2214</v>
      </c>
      <c r="M434" s="757"/>
      <c r="P434"/>
      <c r="Q434" s="2"/>
      <c r="R434"/>
      <c r="S434"/>
      <c r="T434"/>
    </row>
    <row r="435" spans="2:32" ht="23" customHeight="1" thickBot="1">
      <c r="B435" s="741"/>
      <c r="C435" s="742"/>
      <c r="D435" s="569" t="s">
        <v>1563</v>
      </c>
      <c r="E435" s="759">
        <f>E434*E436</f>
        <v>2000</v>
      </c>
      <c r="F435" s="760"/>
      <c r="G435" s="806"/>
      <c r="H435" s="914"/>
      <c r="I435" s="567" t="s">
        <v>2120</v>
      </c>
      <c r="J435" s="806"/>
      <c r="K435" s="808"/>
      <c r="L435" s="570">
        <f>SUM(M437:M439)</f>
        <v>34</v>
      </c>
      <c r="M435" s="758"/>
      <c r="P435"/>
      <c r="Q435" s="2"/>
      <c r="R435"/>
      <c r="S435"/>
      <c r="T435"/>
    </row>
    <row r="436" spans="2:32" s="4" customFormat="1" ht="24" hidden="1" customHeight="1" outlineLevel="1">
      <c r="B436" s="475"/>
      <c r="C436" s="476"/>
      <c r="D436" s="554" t="s">
        <v>1565</v>
      </c>
      <c r="E436" s="557">
        <v>500</v>
      </c>
      <c r="F436" s="339" t="s">
        <v>1564</v>
      </c>
      <c r="G436" s="461" t="s">
        <v>2130</v>
      </c>
      <c r="H436" s="523" t="s">
        <v>2250</v>
      </c>
      <c r="I436" s="324"/>
      <c r="J436" s="523" t="s">
        <v>28</v>
      </c>
      <c r="K436" s="524" t="str">
        <f>Languages!$G$193</f>
        <v>Priority 
1 - 5</v>
      </c>
      <c r="L436" s="761"/>
      <c r="M436" s="762"/>
      <c r="N436"/>
      <c r="P436"/>
      <c r="R436"/>
      <c r="S436" s="2"/>
      <c r="U436" s="10"/>
      <c r="Y436"/>
      <c r="Z436"/>
      <c r="AA436"/>
      <c r="AB436"/>
      <c r="AC436"/>
      <c r="AD436"/>
      <c r="AE436"/>
      <c r="AF436"/>
    </row>
    <row r="437" spans="2:32" s="4" customFormat="1" ht="24" hidden="1" customHeight="1" outlineLevel="1">
      <c r="B437" s="778"/>
      <c r="C437" s="779"/>
      <c r="D437" s="779"/>
      <c r="E437" s="779"/>
      <c r="F437" s="780"/>
      <c r="G437" s="238" t="s">
        <v>1983</v>
      </c>
      <c r="H437" s="333" t="s">
        <v>2124</v>
      </c>
      <c r="I437" s="776" t="s">
        <v>2141</v>
      </c>
      <c r="J437" s="169" t="s">
        <v>1449</v>
      </c>
      <c r="K437" s="167">
        <v>4</v>
      </c>
      <c r="L437" s="453">
        <f>(E$434*E$436*M437)/1000000</f>
        <v>3.2000000000000001E-2</v>
      </c>
      <c r="M437" s="345">
        <v>16</v>
      </c>
      <c r="N437"/>
      <c r="O437" s="2"/>
      <c r="P437"/>
      <c r="Q437" s="2"/>
      <c r="R437"/>
      <c r="S437" s="2"/>
      <c r="U437" s="10"/>
      <c r="Y437"/>
      <c r="Z437"/>
      <c r="AA437"/>
      <c r="AB437"/>
      <c r="AC437"/>
      <c r="AD437"/>
      <c r="AE437"/>
      <c r="AF437"/>
    </row>
    <row r="438" spans="2:32" s="4" customFormat="1" ht="24" hidden="1" customHeight="1" outlineLevel="1">
      <c r="B438" s="781"/>
      <c r="C438" s="782"/>
      <c r="D438" s="782"/>
      <c r="E438" s="782"/>
      <c r="F438" s="783"/>
      <c r="G438" s="238" t="s">
        <v>2034</v>
      </c>
      <c r="H438" s="333" t="s">
        <v>2124</v>
      </c>
      <c r="I438" s="776"/>
      <c r="J438" s="169" t="s">
        <v>1449</v>
      </c>
      <c r="K438" s="167">
        <v>3</v>
      </c>
      <c r="L438" s="453">
        <f t="shared" ref="L438:L442" si="49">(E$434*E$436*M438)/1000000</f>
        <v>1.2E-2</v>
      </c>
      <c r="M438" s="345">
        <v>6</v>
      </c>
      <c r="N438"/>
      <c r="O438" s="2"/>
      <c r="P438"/>
      <c r="Q438" s="2"/>
      <c r="R438"/>
      <c r="S438" s="2"/>
      <c r="U438" s="10"/>
      <c r="Y438"/>
      <c r="Z438"/>
      <c r="AA438"/>
      <c r="AB438"/>
      <c r="AC438"/>
      <c r="AD438"/>
      <c r="AE438"/>
      <c r="AF438"/>
    </row>
    <row r="439" spans="2:32" s="4" customFormat="1" ht="24" hidden="1" customHeight="1" outlineLevel="1">
      <c r="B439" s="781"/>
      <c r="C439" s="782"/>
      <c r="D439" s="782"/>
      <c r="E439" s="782"/>
      <c r="F439" s="783"/>
      <c r="G439" s="238" t="s">
        <v>1622</v>
      </c>
      <c r="H439" s="333" t="s">
        <v>2124</v>
      </c>
      <c r="I439" s="776"/>
      <c r="J439" s="169" t="s">
        <v>1454</v>
      </c>
      <c r="K439" s="167">
        <v>4</v>
      </c>
      <c r="L439" s="453">
        <f t="shared" si="49"/>
        <v>2.4E-2</v>
      </c>
      <c r="M439" s="345">
        <v>12</v>
      </c>
      <c r="N439"/>
      <c r="O439" s="2"/>
      <c r="P439"/>
      <c r="Q439" s="2"/>
      <c r="R439"/>
      <c r="S439" s="2"/>
      <c r="U439" s="10"/>
      <c r="Y439"/>
      <c r="Z439"/>
      <c r="AA439"/>
      <c r="AB439"/>
      <c r="AC439"/>
      <c r="AD439"/>
      <c r="AE439"/>
      <c r="AF439"/>
    </row>
    <row r="440" spans="2:32" s="4" customFormat="1" ht="24" hidden="1" customHeight="1" outlineLevel="1">
      <c r="B440" s="773"/>
      <c r="C440" s="774"/>
      <c r="D440" s="774"/>
      <c r="E440" s="774"/>
      <c r="F440" s="775"/>
      <c r="G440" s="271" t="s">
        <v>2237</v>
      </c>
      <c r="H440" s="333" t="s">
        <v>2124</v>
      </c>
      <c r="I440" s="776"/>
      <c r="J440" s="169" t="s">
        <v>1449</v>
      </c>
      <c r="K440" s="167">
        <v>5</v>
      </c>
      <c r="L440" s="453">
        <f t="shared" si="49"/>
        <v>0.16</v>
      </c>
      <c r="M440" s="345">
        <v>80</v>
      </c>
      <c r="N440"/>
      <c r="O440" s="2"/>
      <c r="P440"/>
      <c r="Q440" s="2"/>
      <c r="R440"/>
      <c r="S440" s="2"/>
      <c r="U440" s="10"/>
      <c r="Y440"/>
      <c r="Z440"/>
      <c r="AA440"/>
      <c r="AB440"/>
      <c r="AC440"/>
      <c r="AD440"/>
      <c r="AE440"/>
      <c r="AF440"/>
    </row>
    <row r="441" spans="2:32" s="4" customFormat="1" ht="24" hidden="1" customHeight="1" outlineLevel="1">
      <c r="B441" s="773"/>
      <c r="C441" s="774"/>
      <c r="D441" s="774"/>
      <c r="E441" s="774"/>
      <c r="F441" s="775"/>
      <c r="G441" s="272"/>
      <c r="H441" s="333" t="s">
        <v>2124</v>
      </c>
      <c r="I441" s="776"/>
      <c r="J441" s="169" t="s">
        <v>1449</v>
      </c>
      <c r="K441" s="167"/>
      <c r="L441" s="453">
        <f t="shared" si="49"/>
        <v>0</v>
      </c>
      <c r="M441" s="345">
        <v>0</v>
      </c>
      <c r="N441"/>
      <c r="O441" s="2"/>
      <c r="P441"/>
      <c r="Q441" s="2"/>
      <c r="R441"/>
      <c r="S441" s="2"/>
      <c r="U441" s="10"/>
      <c r="Y441"/>
      <c r="Z441"/>
      <c r="AA441"/>
      <c r="AB441"/>
      <c r="AC441"/>
      <c r="AD441"/>
      <c r="AE441"/>
      <c r="AF441"/>
    </row>
    <row r="442" spans="2:32" s="4" customFormat="1" ht="24" hidden="1" customHeight="1" outlineLevel="1" thickBot="1">
      <c r="B442" s="773"/>
      <c r="C442" s="774"/>
      <c r="D442" s="774"/>
      <c r="E442" s="774"/>
      <c r="F442" s="775"/>
      <c r="G442" s="459"/>
      <c r="H442" s="513" t="s">
        <v>2124</v>
      </c>
      <c r="I442" s="776"/>
      <c r="J442" s="169" t="s">
        <v>1449</v>
      </c>
      <c r="K442" s="456"/>
      <c r="L442" s="548">
        <f t="shared" si="49"/>
        <v>0</v>
      </c>
      <c r="M442" s="356">
        <v>0</v>
      </c>
      <c r="N442"/>
      <c r="O442" s="2"/>
      <c r="P442"/>
      <c r="Q442" s="2"/>
      <c r="R442"/>
      <c r="S442" s="2"/>
      <c r="U442" s="10"/>
      <c r="Y442"/>
      <c r="Z442"/>
      <c r="AA442"/>
      <c r="AB442"/>
      <c r="AC442"/>
      <c r="AD442"/>
      <c r="AE442"/>
      <c r="AF442"/>
    </row>
    <row r="443" spans="2:32" s="4" customFormat="1" ht="26" customHeight="1" collapsed="1">
      <c r="B443" s="739" t="str">
        <f>Languages!$C$248</f>
        <v>Arterial road</v>
      </c>
      <c r="C443" s="740"/>
      <c r="D443" s="553" t="s">
        <v>2178</v>
      </c>
      <c r="E443" s="817">
        <v>22</v>
      </c>
      <c r="F443" s="818"/>
      <c r="G443" s="711" t="str">
        <f>G$11</f>
        <v>Asset / Component</v>
      </c>
      <c r="H443" s="734" t="s">
        <v>2123</v>
      </c>
      <c r="I443" s="545" t="s">
        <v>2103</v>
      </c>
      <c r="J443" s="711" t="s">
        <v>2212</v>
      </c>
      <c r="K443" s="807">
        <f>SUM(K446:K449)/4</f>
        <v>4.25</v>
      </c>
      <c r="L443" s="546" t="s">
        <v>2214</v>
      </c>
      <c r="M443" s="757"/>
      <c r="N443"/>
      <c r="P443"/>
      <c r="R443"/>
      <c r="S443" s="2"/>
      <c r="U443" s="10"/>
      <c r="Y443"/>
      <c r="Z443"/>
      <c r="AA443"/>
      <c r="AB443"/>
      <c r="AC443"/>
      <c r="AD443"/>
      <c r="AE443"/>
      <c r="AF443"/>
    </row>
    <row r="444" spans="2:32" s="4" customFormat="1" ht="23" customHeight="1" thickBot="1">
      <c r="B444" s="741"/>
      <c r="C444" s="742"/>
      <c r="D444" s="569" t="s">
        <v>1563</v>
      </c>
      <c r="E444" s="759">
        <f>E443*E445</f>
        <v>22000</v>
      </c>
      <c r="F444" s="760"/>
      <c r="G444" s="806"/>
      <c r="H444" s="914"/>
      <c r="I444" s="567" t="s">
        <v>2120</v>
      </c>
      <c r="J444" s="806"/>
      <c r="K444" s="808"/>
      <c r="L444" s="570">
        <f>SUM(M446:M448)</f>
        <v>38</v>
      </c>
      <c r="M444" s="758"/>
      <c r="N444"/>
      <c r="P444"/>
      <c r="R444"/>
      <c r="S444" s="2"/>
      <c r="U444" s="10"/>
      <c r="Y444"/>
      <c r="Z444"/>
      <c r="AA444"/>
      <c r="AB444"/>
      <c r="AC444"/>
      <c r="AD444"/>
      <c r="AE444"/>
      <c r="AF444"/>
    </row>
    <row r="445" spans="2:32" s="4" customFormat="1" ht="24" hidden="1" customHeight="1" outlineLevel="1">
      <c r="B445" s="475"/>
      <c r="C445" s="476"/>
      <c r="D445" s="554" t="s">
        <v>1565</v>
      </c>
      <c r="E445" s="557">
        <v>1000</v>
      </c>
      <c r="F445" s="339" t="s">
        <v>1564</v>
      </c>
      <c r="G445" s="461" t="s">
        <v>2130</v>
      </c>
      <c r="H445" s="523" t="s">
        <v>2250</v>
      </c>
      <c r="I445" s="324"/>
      <c r="J445" s="523" t="s">
        <v>28</v>
      </c>
      <c r="K445" s="524" t="str">
        <f>Languages!$G$193</f>
        <v>Priority 
1 - 5</v>
      </c>
      <c r="L445" s="761"/>
      <c r="M445" s="762"/>
      <c r="N445"/>
      <c r="P445"/>
      <c r="R445"/>
      <c r="S445" s="2"/>
      <c r="U445" s="10"/>
      <c r="Y445"/>
      <c r="Z445"/>
      <c r="AA445"/>
      <c r="AB445"/>
      <c r="AC445"/>
      <c r="AD445"/>
      <c r="AE445"/>
      <c r="AF445"/>
    </row>
    <row r="446" spans="2:32" s="4" customFormat="1" ht="24" hidden="1" customHeight="1" outlineLevel="1">
      <c r="B446" s="778"/>
      <c r="C446" s="779"/>
      <c r="D446" s="779"/>
      <c r="E446" s="779"/>
      <c r="F446" s="780"/>
      <c r="G446" s="238" t="s">
        <v>1946</v>
      </c>
      <c r="H446" s="333" t="s">
        <v>2124</v>
      </c>
      <c r="I446" s="776" t="s">
        <v>2141</v>
      </c>
      <c r="J446" s="169" t="s">
        <v>1449</v>
      </c>
      <c r="K446" s="167">
        <v>4</v>
      </c>
      <c r="L446" s="453">
        <f>(E$266*E$268*M446)/1000000</f>
        <v>0.112</v>
      </c>
      <c r="M446" s="345">
        <v>16</v>
      </c>
      <c r="N446"/>
      <c r="P446"/>
      <c r="R446"/>
      <c r="S446" s="2"/>
      <c r="U446" s="10"/>
      <c r="Y446"/>
      <c r="Z446"/>
      <c r="AA446"/>
      <c r="AB446"/>
      <c r="AC446"/>
      <c r="AD446"/>
      <c r="AE446"/>
      <c r="AF446"/>
    </row>
    <row r="447" spans="2:32" s="4" customFormat="1" ht="24" hidden="1" customHeight="1" outlineLevel="1">
      <c r="B447" s="781"/>
      <c r="C447" s="782"/>
      <c r="D447" s="782"/>
      <c r="E447" s="782"/>
      <c r="F447" s="783"/>
      <c r="G447" s="238" t="s">
        <v>1947</v>
      </c>
      <c r="H447" s="333" t="s">
        <v>2124</v>
      </c>
      <c r="I447" s="776"/>
      <c r="J447" s="169" t="s">
        <v>1449</v>
      </c>
      <c r="K447" s="167">
        <v>4</v>
      </c>
      <c r="L447" s="453">
        <f t="shared" ref="L447:L448" si="50">(E$266*E$268*M447)/1000000</f>
        <v>4.2000000000000003E-2</v>
      </c>
      <c r="M447" s="345">
        <v>6</v>
      </c>
      <c r="N447"/>
      <c r="P447"/>
      <c r="R447"/>
      <c r="S447" s="2"/>
      <c r="U447" s="10"/>
      <c r="Y447"/>
      <c r="Z447"/>
      <c r="AA447"/>
      <c r="AB447"/>
      <c r="AC447"/>
      <c r="AD447"/>
      <c r="AE447"/>
      <c r="AF447"/>
    </row>
    <row r="448" spans="2:32" s="4" customFormat="1" ht="24" hidden="1" customHeight="1" outlineLevel="1">
      <c r="B448" s="781"/>
      <c r="C448" s="782"/>
      <c r="D448" s="782"/>
      <c r="E448" s="782"/>
      <c r="F448" s="783"/>
      <c r="G448" s="238" t="s">
        <v>2036</v>
      </c>
      <c r="H448" s="333" t="s">
        <v>2124</v>
      </c>
      <c r="I448" s="776"/>
      <c r="J448" s="169" t="s">
        <v>1449</v>
      </c>
      <c r="K448" s="167">
        <v>4</v>
      </c>
      <c r="L448" s="453">
        <f t="shared" si="50"/>
        <v>0.112</v>
      </c>
      <c r="M448" s="345">
        <v>16</v>
      </c>
      <c r="N448"/>
      <c r="P448"/>
      <c r="R448"/>
      <c r="S448" s="2"/>
      <c r="U448" s="10"/>
      <c r="Y448"/>
      <c r="Z448"/>
      <c r="AA448"/>
      <c r="AB448"/>
      <c r="AC448"/>
      <c r="AD448"/>
      <c r="AE448"/>
      <c r="AF448"/>
    </row>
    <row r="449" spans="2:32" s="4" customFormat="1" ht="24" hidden="1" customHeight="1" outlineLevel="1">
      <c r="B449" s="773"/>
      <c r="C449" s="774"/>
      <c r="D449" s="774"/>
      <c r="E449" s="774"/>
      <c r="F449" s="775"/>
      <c r="G449" s="271" t="s">
        <v>2237</v>
      </c>
      <c r="H449" s="333" t="s">
        <v>2124</v>
      </c>
      <c r="I449" s="776"/>
      <c r="J449" s="169" t="s">
        <v>1454</v>
      </c>
      <c r="K449" s="167">
        <v>5</v>
      </c>
      <c r="L449" s="453">
        <f>(E$266*E$268*M449)/1000000</f>
        <v>0.42</v>
      </c>
      <c r="M449" s="345">
        <v>60</v>
      </c>
      <c r="N449"/>
      <c r="O449" s="2"/>
      <c r="P449"/>
      <c r="Q449" s="2"/>
      <c r="R449"/>
      <c r="S449" s="2"/>
      <c r="U449" s="10"/>
      <c r="Y449"/>
      <c r="Z449"/>
      <c r="AA449"/>
      <c r="AB449"/>
      <c r="AC449"/>
      <c r="AD449"/>
      <c r="AE449"/>
      <c r="AF449"/>
    </row>
    <row r="450" spans="2:32" s="4" customFormat="1" ht="24" hidden="1" customHeight="1" outlineLevel="1">
      <c r="B450" s="773"/>
      <c r="C450" s="774"/>
      <c r="D450" s="774"/>
      <c r="E450" s="774"/>
      <c r="F450" s="775"/>
      <c r="G450" s="272"/>
      <c r="H450" s="333" t="s">
        <v>2124</v>
      </c>
      <c r="I450" s="776"/>
      <c r="J450" s="169" t="s">
        <v>1449</v>
      </c>
      <c r="K450" s="167">
        <v>3</v>
      </c>
      <c r="L450" s="453">
        <f t="shared" ref="L450:L451" si="51">(E$266*E$268*M450)/1000000</f>
        <v>4.2000000000000003E-2</v>
      </c>
      <c r="M450" s="345">
        <v>6</v>
      </c>
      <c r="N450"/>
      <c r="O450" s="2"/>
      <c r="P450"/>
      <c r="Q450" s="2"/>
      <c r="R450"/>
      <c r="S450" s="2"/>
      <c r="U450" s="10"/>
      <c r="Y450"/>
      <c r="Z450"/>
      <c r="AA450"/>
      <c r="AB450"/>
      <c r="AC450"/>
      <c r="AD450"/>
      <c r="AE450"/>
      <c r="AF450"/>
    </row>
    <row r="451" spans="2:32" s="4" customFormat="1" ht="24" hidden="1" customHeight="1" outlineLevel="1" thickBot="1">
      <c r="B451" s="773"/>
      <c r="C451" s="774"/>
      <c r="D451" s="774"/>
      <c r="E451" s="774"/>
      <c r="F451" s="775"/>
      <c r="G451" s="272"/>
      <c r="H451" s="333" t="s">
        <v>2124</v>
      </c>
      <c r="I451" s="777"/>
      <c r="J451" s="169" t="s">
        <v>1449</v>
      </c>
      <c r="K451" s="167">
        <v>3</v>
      </c>
      <c r="L451" s="453">
        <f t="shared" si="51"/>
        <v>0.112</v>
      </c>
      <c r="M451" s="345">
        <v>16</v>
      </c>
      <c r="N451"/>
      <c r="O451" s="2"/>
      <c r="P451"/>
      <c r="Q451" s="2"/>
      <c r="R451"/>
      <c r="S451" s="2"/>
      <c r="U451" s="10"/>
      <c r="Y451"/>
      <c r="Z451"/>
      <c r="AA451"/>
      <c r="AB451"/>
      <c r="AC451"/>
      <c r="AD451"/>
      <c r="AE451"/>
      <c r="AF451"/>
    </row>
    <row r="452" spans="2:32" ht="15" customHeight="1" collapsed="1" thickBot="1">
      <c r="B452" s="163" t="s">
        <v>46</v>
      </c>
      <c r="C452" s="163"/>
      <c r="D452" s="163"/>
      <c r="E452" s="163"/>
      <c r="F452" s="163"/>
      <c r="G452" s="165"/>
      <c r="H452" s="12"/>
      <c r="I452" s="12"/>
      <c r="J452" s="12"/>
      <c r="K452" s="12"/>
      <c r="L452" s="370"/>
      <c r="M452" s="370"/>
      <c r="O452"/>
      <c r="P452"/>
      <c r="Q452" s="2"/>
      <c r="R452"/>
      <c r="S452" s="2"/>
      <c r="U452" s="10"/>
      <c r="V452" s="4"/>
      <c r="W452" s="4"/>
      <c r="X452" s="4"/>
    </row>
    <row r="453" spans="2:32" ht="28" customHeight="1" thickBot="1">
      <c r="B453" s="765" t="str">
        <f>B$2</f>
        <v>Damage Assessments for Sustainable Reconstruction in Ukraine</v>
      </c>
      <c r="C453" s="766"/>
      <c r="D453" s="766"/>
      <c r="E453" s="766"/>
      <c r="F453" s="766"/>
      <c r="G453" s="766"/>
      <c r="H453" s="766"/>
      <c r="I453" s="784" t="str">
        <f>I$2</f>
        <v>Irpin Urban Area</v>
      </c>
      <c r="J453" s="785"/>
      <c r="K453" s="786"/>
      <c r="L453" s="371" t="str">
        <f>L$74</f>
        <v>27Jan23</v>
      </c>
      <c r="M453" s="164">
        <v>21</v>
      </c>
      <c r="P453"/>
      <c r="Q453" s="2"/>
      <c r="R453"/>
      <c r="S453" s="2"/>
      <c r="T453"/>
      <c r="V453" s="4"/>
      <c r="W453" s="4"/>
      <c r="X453" s="4"/>
    </row>
    <row r="454" spans="2:32" ht="27" customHeight="1">
      <c r="B454" s="938" t="str">
        <f>Languages!$C$187&amp;" 5"</f>
        <v>Public and private transport 5</v>
      </c>
      <c r="C454" s="939"/>
      <c r="D454" s="787" t="str">
        <f>Languages!$N$176</f>
        <v>Information on main asset &amp; sub-assets</v>
      </c>
      <c r="E454" s="788" t="str">
        <f>Languages!$I$188</f>
        <v>Area and/or quantity assessed</v>
      </c>
      <c r="F454" s="789"/>
      <c r="G454" s="792" t="str">
        <f>Languages!$M$194</f>
        <v>Enter info on type and area / quantity of assets, type and extent of damage.</v>
      </c>
      <c r="H454" s="793"/>
      <c r="I454" s="796" t="s">
        <v>2118</v>
      </c>
      <c r="J454" s="798" t="str">
        <f>Languages!$K$177</f>
        <v>Approx. repair costs, priority 4 &amp; 5 assets, m. Euro</v>
      </c>
      <c r="K454" s="799"/>
      <c r="L454" s="372">
        <f>IF(K458&gt;3,L459)+IF(K467&gt;3,L468)</f>
        <v>38</v>
      </c>
      <c r="M454" s="368" t="s">
        <v>1966</v>
      </c>
      <c r="P454"/>
      <c r="Q454" s="2"/>
      <c r="R454"/>
      <c r="S454" s="2"/>
      <c r="T454"/>
      <c r="V454" s="4"/>
      <c r="W454" s="4"/>
      <c r="X454" s="4"/>
    </row>
    <row r="455" spans="2:32" ht="27" customHeight="1">
      <c r="B455" s="940"/>
      <c r="C455" s="941"/>
      <c r="D455" s="768"/>
      <c r="E455" s="790"/>
      <c r="F455" s="791"/>
      <c r="G455" s="794"/>
      <c r="H455" s="795"/>
      <c r="I455" s="797"/>
      <c r="J455" s="800" t="str">
        <f>Languages!$K$176</f>
        <v>Approx. total repair costs, m. Euro</v>
      </c>
      <c r="K455" s="801"/>
      <c r="L455" s="373">
        <f>(L459+L468)</f>
        <v>76</v>
      </c>
      <c r="M455" s="369" t="s">
        <v>1966</v>
      </c>
      <c r="P455"/>
      <c r="Q455" s="2"/>
      <c r="R455"/>
      <c r="S455" s="2"/>
      <c r="U455" s="10"/>
      <c r="V455" s="4"/>
      <c r="W455" s="4"/>
      <c r="X455" s="4"/>
    </row>
    <row r="456" spans="2:32" ht="23" customHeight="1">
      <c r="B456" s="940"/>
      <c r="C456" s="941"/>
      <c r="D456" s="768"/>
      <c r="E456" s="802" t="s">
        <v>1546</v>
      </c>
      <c r="F456" s="804" t="str">
        <f>Languages!$N$178</f>
        <v>Unit type</v>
      </c>
      <c r="G456" s="769" t="str">
        <f>G$77</f>
        <v>Asset or Component</v>
      </c>
      <c r="H456" s="767" t="s">
        <v>2251</v>
      </c>
      <c r="I456" s="331" t="s">
        <v>2117</v>
      </c>
      <c r="J456" s="771" t="str">
        <f>Languages!$K$178</f>
        <v>Actions</v>
      </c>
      <c r="K456" s="772"/>
      <c r="L456" s="763" t="s">
        <v>1550</v>
      </c>
      <c r="M456" s="764"/>
      <c r="P456"/>
      <c r="Q456" s="2"/>
      <c r="R456"/>
      <c r="S456" s="2"/>
      <c r="U456" s="10"/>
      <c r="V456" s="4"/>
      <c r="W456" s="4"/>
      <c r="X456" s="4"/>
    </row>
    <row r="457" spans="2:32" s="4" customFormat="1" ht="27" customHeight="1" thickBot="1">
      <c r="B457" s="940"/>
      <c r="C457" s="941"/>
      <c r="D457" s="768"/>
      <c r="E457" s="803"/>
      <c r="F457" s="805"/>
      <c r="G457" s="770"/>
      <c r="H457" s="768"/>
      <c r="I457" s="330" t="str">
        <f>Languages!$E$190</f>
        <v>Social Impact level</v>
      </c>
      <c r="J457" s="492" t="str">
        <f>Languages!$K$185</f>
        <v>Action required</v>
      </c>
      <c r="K457" s="504" t="str">
        <f>Languages!$G$193</f>
        <v>Priority 
1 - 5</v>
      </c>
      <c r="L457" s="541" t="s">
        <v>1551</v>
      </c>
      <c r="M457" s="543" t="s">
        <v>1774</v>
      </c>
      <c r="N457"/>
      <c r="P457"/>
      <c r="R457"/>
      <c r="S457" s="2"/>
      <c r="U457" s="10"/>
      <c r="Y457"/>
      <c r="Z457"/>
      <c r="AA457"/>
      <c r="AB457"/>
      <c r="AC457"/>
      <c r="AD457"/>
      <c r="AE457"/>
      <c r="AF457"/>
    </row>
    <row r="458" spans="2:32" ht="24" customHeight="1">
      <c r="B458" s="739" t="str">
        <f>Languages!$C$249</f>
        <v>Collector road</v>
      </c>
      <c r="C458" s="740"/>
      <c r="D458" s="553" t="s">
        <v>2178</v>
      </c>
      <c r="E458" s="817">
        <v>2000</v>
      </c>
      <c r="F458" s="818"/>
      <c r="G458" s="711" t="str">
        <f>G$11</f>
        <v>Asset / Component</v>
      </c>
      <c r="H458" s="734" t="s">
        <v>2123</v>
      </c>
      <c r="I458" s="545" t="s">
        <v>2103</v>
      </c>
      <c r="J458" s="711" t="s">
        <v>2212</v>
      </c>
      <c r="K458" s="807">
        <f>SUM(K461:K464)/4</f>
        <v>3.75</v>
      </c>
      <c r="L458" s="546" t="s">
        <v>2214</v>
      </c>
      <c r="M458" s="757"/>
      <c r="P458"/>
      <c r="Q458" s="2"/>
      <c r="R458"/>
      <c r="S458"/>
      <c r="T458"/>
    </row>
    <row r="459" spans="2:32" ht="23" customHeight="1" thickBot="1">
      <c r="B459" s="741"/>
      <c r="C459" s="742"/>
      <c r="D459" s="569" t="s">
        <v>1563</v>
      </c>
      <c r="E459" s="759">
        <f>E458*E460</f>
        <v>220000</v>
      </c>
      <c r="F459" s="760"/>
      <c r="G459" s="806"/>
      <c r="H459" s="914"/>
      <c r="I459" s="567" t="s">
        <v>2120</v>
      </c>
      <c r="J459" s="806"/>
      <c r="K459" s="808"/>
      <c r="L459" s="570">
        <f>SUM(M461:M463)</f>
        <v>38</v>
      </c>
      <c r="M459" s="758"/>
      <c r="P459"/>
      <c r="Q459" s="2"/>
      <c r="R459"/>
      <c r="S459"/>
      <c r="T459"/>
    </row>
    <row r="460" spans="2:32" s="4" customFormat="1" ht="24" hidden="1" customHeight="1" outlineLevel="1">
      <c r="B460" s="475"/>
      <c r="C460" s="476"/>
      <c r="D460" s="554" t="s">
        <v>1562</v>
      </c>
      <c r="E460" s="560">
        <v>110</v>
      </c>
      <c r="F460" s="171" t="s">
        <v>1564</v>
      </c>
      <c r="G460" s="461" t="s">
        <v>2130</v>
      </c>
      <c r="H460" s="523" t="s">
        <v>2250</v>
      </c>
      <c r="I460" s="324"/>
      <c r="J460" s="523" t="s">
        <v>28</v>
      </c>
      <c r="K460" s="524" t="str">
        <f>Languages!$G$193</f>
        <v>Priority 
1 - 5</v>
      </c>
      <c r="L460" s="761"/>
      <c r="M460" s="762"/>
      <c r="N460"/>
      <c r="P460"/>
      <c r="R460"/>
      <c r="S460" s="2"/>
      <c r="U460" s="10"/>
      <c r="Y460"/>
      <c r="Z460"/>
      <c r="AA460"/>
      <c r="AB460"/>
      <c r="AC460"/>
      <c r="AD460"/>
      <c r="AE460"/>
      <c r="AF460"/>
    </row>
    <row r="461" spans="2:32" s="4" customFormat="1" ht="24" hidden="1" customHeight="1" outlineLevel="1">
      <c r="B461" s="778"/>
      <c r="C461" s="779"/>
      <c r="D461" s="779"/>
      <c r="E461" s="779"/>
      <c r="F461" s="780"/>
      <c r="G461" s="238" t="s">
        <v>1946</v>
      </c>
      <c r="H461" s="333" t="s">
        <v>2124</v>
      </c>
      <c r="I461" s="776" t="s">
        <v>2141</v>
      </c>
      <c r="J461" s="169" t="s">
        <v>1449</v>
      </c>
      <c r="K461" s="167">
        <v>4</v>
      </c>
      <c r="L461" s="453">
        <f>(E$458*E$460*M461)/1000000</f>
        <v>3.52</v>
      </c>
      <c r="M461" s="345">
        <v>16</v>
      </c>
      <c r="N461"/>
      <c r="O461" s="2"/>
      <c r="P461"/>
      <c r="Q461" s="2"/>
      <c r="R461"/>
      <c r="S461" s="2"/>
      <c r="U461" s="10"/>
      <c r="Y461"/>
      <c r="Z461"/>
      <c r="AA461"/>
      <c r="AB461"/>
      <c r="AC461"/>
      <c r="AD461"/>
      <c r="AE461"/>
      <c r="AF461"/>
    </row>
    <row r="462" spans="2:32" s="4" customFormat="1" ht="24" hidden="1" customHeight="1" outlineLevel="1">
      <c r="B462" s="781"/>
      <c r="C462" s="782"/>
      <c r="D462" s="782"/>
      <c r="E462" s="782"/>
      <c r="F462" s="783"/>
      <c r="G462" s="238" t="s">
        <v>1947</v>
      </c>
      <c r="H462" s="333" t="s">
        <v>2124</v>
      </c>
      <c r="I462" s="776"/>
      <c r="J462" s="169" t="s">
        <v>1449</v>
      </c>
      <c r="K462" s="167">
        <v>4</v>
      </c>
      <c r="L462" s="453">
        <f t="shared" ref="L462:L466" si="52">(E$458*E$460*M462)/1000000</f>
        <v>1.32</v>
      </c>
      <c r="M462" s="345">
        <v>6</v>
      </c>
      <c r="N462"/>
      <c r="O462" s="2"/>
      <c r="P462"/>
      <c r="Q462" s="2"/>
      <c r="R462"/>
      <c r="S462" s="2"/>
      <c r="U462" s="10"/>
      <c r="Y462"/>
      <c r="Z462"/>
      <c r="AA462"/>
      <c r="AB462"/>
      <c r="AC462"/>
      <c r="AD462"/>
      <c r="AE462"/>
      <c r="AF462"/>
    </row>
    <row r="463" spans="2:32" s="4" customFormat="1" ht="24" hidden="1" customHeight="1" outlineLevel="1">
      <c r="B463" s="781"/>
      <c r="C463" s="782"/>
      <c r="D463" s="782"/>
      <c r="E463" s="782"/>
      <c r="F463" s="783"/>
      <c r="G463" s="238" t="s">
        <v>2036</v>
      </c>
      <c r="H463" s="333" t="s">
        <v>2124</v>
      </c>
      <c r="I463" s="776"/>
      <c r="J463" s="169" t="s">
        <v>1449</v>
      </c>
      <c r="K463" s="167">
        <v>4</v>
      </c>
      <c r="L463" s="453">
        <f t="shared" si="52"/>
        <v>3.52</v>
      </c>
      <c r="M463" s="345">
        <v>16</v>
      </c>
      <c r="N463"/>
      <c r="O463" s="2"/>
      <c r="P463"/>
      <c r="Q463" s="2"/>
      <c r="R463"/>
      <c r="S463" s="2"/>
      <c r="U463" s="10"/>
      <c r="Y463"/>
      <c r="Z463"/>
      <c r="AA463"/>
      <c r="AB463"/>
      <c r="AC463"/>
      <c r="AD463"/>
      <c r="AE463"/>
      <c r="AF463"/>
    </row>
    <row r="464" spans="2:32" s="4" customFormat="1" ht="24" hidden="1" customHeight="1" outlineLevel="1">
      <c r="B464" s="773"/>
      <c r="C464" s="774"/>
      <c r="D464" s="774"/>
      <c r="E464" s="774"/>
      <c r="F464" s="775"/>
      <c r="G464" s="271" t="s">
        <v>2237</v>
      </c>
      <c r="H464" s="333" t="s">
        <v>2124</v>
      </c>
      <c r="I464" s="776"/>
      <c r="J464" s="169" t="s">
        <v>1449</v>
      </c>
      <c r="K464" s="167">
        <v>3</v>
      </c>
      <c r="L464" s="453">
        <f t="shared" si="52"/>
        <v>3.52</v>
      </c>
      <c r="M464" s="345">
        <v>16</v>
      </c>
      <c r="N464"/>
      <c r="O464" s="2"/>
      <c r="P464"/>
      <c r="Q464" s="2"/>
      <c r="R464"/>
      <c r="S464" s="2"/>
      <c r="U464" s="10"/>
      <c r="Y464"/>
      <c r="Z464"/>
      <c r="AA464"/>
      <c r="AB464"/>
      <c r="AC464"/>
      <c r="AD464"/>
      <c r="AE464"/>
      <c r="AF464"/>
    </row>
    <row r="465" spans="2:32" s="4" customFormat="1" ht="24" hidden="1" customHeight="1" outlineLevel="1">
      <c r="B465" s="773"/>
      <c r="C465" s="774"/>
      <c r="D465" s="774"/>
      <c r="E465" s="774"/>
      <c r="F465" s="775"/>
      <c r="G465" s="272"/>
      <c r="H465" s="333" t="s">
        <v>2124</v>
      </c>
      <c r="I465" s="776"/>
      <c r="J465" s="169" t="s">
        <v>1449</v>
      </c>
      <c r="K465" s="167">
        <v>3</v>
      </c>
      <c r="L465" s="453">
        <f t="shared" si="52"/>
        <v>0</v>
      </c>
      <c r="M465" s="345">
        <v>0</v>
      </c>
      <c r="N465"/>
      <c r="O465" s="2"/>
      <c r="P465"/>
      <c r="Q465" s="2"/>
      <c r="R465"/>
      <c r="S465" s="2"/>
      <c r="U465" s="10"/>
      <c r="Y465"/>
      <c r="Z465"/>
      <c r="AA465"/>
      <c r="AB465"/>
      <c r="AC465"/>
      <c r="AD465"/>
      <c r="AE465"/>
      <c r="AF465"/>
    </row>
    <row r="466" spans="2:32" s="4" customFormat="1" ht="24" hidden="1" customHeight="1" outlineLevel="1" thickBot="1">
      <c r="B466" s="773"/>
      <c r="C466" s="774"/>
      <c r="D466" s="774"/>
      <c r="E466" s="774"/>
      <c r="F466" s="775"/>
      <c r="G466" s="459"/>
      <c r="H466" s="513" t="s">
        <v>2124</v>
      </c>
      <c r="I466" s="776"/>
      <c r="J466" s="169" t="s">
        <v>1449</v>
      </c>
      <c r="K466" s="456">
        <v>3</v>
      </c>
      <c r="L466" s="548">
        <f t="shared" si="52"/>
        <v>0</v>
      </c>
      <c r="M466" s="356">
        <v>0</v>
      </c>
      <c r="N466"/>
      <c r="O466" s="2"/>
      <c r="P466"/>
      <c r="Q466" s="2"/>
      <c r="R466"/>
      <c r="S466" s="2"/>
      <c r="U466" s="10"/>
      <c r="Y466"/>
      <c r="Z466"/>
      <c r="AA466"/>
      <c r="AB466"/>
      <c r="AC466"/>
      <c r="AD466"/>
      <c r="AE466"/>
      <c r="AF466"/>
    </row>
    <row r="467" spans="2:32" ht="24" customHeight="1" collapsed="1">
      <c r="B467" s="739" t="str">
        <f>Languages!$C$250</f>
        <v>Lane or local road</v>
      </c>
      <c r="C467" s="740"/>
      <c r="D467" s="553" t="s">
        <v>2178</v>
      </c>
      <c r="E467" s="817">
        <v>5000</v>
      </c>
      <c r="F467" s="818"/>
      <c r="G467" s="711" t="str">
        <f>G$11</f>
        <v>Asset / Component</v>
      </c>
      <c r="H467" s="734" t="s">
        <v>2123</v>
      </c>
      <c r="I467" s="545" t="s">
        <v>2103</v>
      </c>
      <c r="J467" s="711" t="s">
        <v>2212</v>
      </c>
      <c r="K467" s="807">
        <f>SUM(K470:K472)/4</f>
        <v>2.75</v>
      </c>
      <c r="L467" s="546" t="s">
        <v>2214</v>
      </c>
      <c r="M467" s="757"/>
      <c r="P467"/>
      <c r="Q467" s="2"/>
      <c r="R467"/>
      <c r="S467"/>
      <c r="T467"/>
    </row>
    <row r="468" spans="2:32" ht="23" customHeight="1" thickBot="1">
      <c r="B468" s="741"/>
      <c r="C468" s="742"/>
      <c r="D468" s="569" t="s">
        <v>1563</v>
      </c>
      <c r="E468" s="759">
        <f>E467*E469</f>
        <v>450000</v>
      </c>
      <c r="F468" s="760"/>
      <c r="G468" s="806"/>
      <c r="H468" s="914"/>
      <c r="I468" s="567" t="s">
        <v>2120</v>
      </c>
      <c r="J468" s="806"/>
      <c r="K468" s="808"/>
      <c r="L468" s="570">
        <f>SUM(M470:M472)</f>
        <v>38</v>
      </c>
      <c r="M468" s="758"/>
      <c r="P468"/>
      <c r="Q468" s="2"/>
      <c r="R468"/>
      <c r="S468"/>
      <c r="T468"/>
    </row>
    <row r="469" spans="2:32" s="4" customFormat="1" ht="24" hidden="1" customHeight="1" outlineLevel="1">
      <c r="B469" s="475"/>
      <c r="C469" s="476"/>
      <c r="D469" s="554" t="s">
        <v>1562</v>
      </c>
      <c r="E469" s="557">
        <v>90</v>
      </c>
      <c r="F469" s="171" t="s">
        <v>1564</v>
      </c>
      <c r="G469" s="461" t="s">
        <v>2130</v>
      </c>
      <c r="H469" s="523" t="s">
        <v>2250</v>
      </c>
      <c r="I469" s="324"/>
      <c r="J469" s="523" t="s">
        <v>28</v>
      </c>
      <c r="K469" s="524" t="str">
        <f>Languages!$G$193</f>
        <v>Priority 
1 - 5</v>
      </c>
      <c r="L469" s="761"/>
      <c r="M469" s="762"/>
      <c r="N469"/>
      <c r="P469"/>
      <c r="R469"/>
      <c r="S469" s="2"/>
      <c r="U469" s="10"/>
      <c r="Y469"/>
      <c r="Z469"/>
      <c r="AA469"/>
      <c r="AB469"/>
      <c r="AC469"/>
      <c r="AD469"/>
      <c r="AE469"/>
      <c r="AF469"/>
    </row>
    <row r="470" spans="2:32" s="4" customFormat="1" ht="24" hidden="1" customHeight="1" outlineLevel="1">
      <c r="B470" s="778"/>
      <c r="C470" s="779"/>
      <c r="D470" s="779"/>
      <c r="E470" s="779"/>
      <c r="F470" s="780"/>
      <c r="G470" s="238" t="s">
        <v>1946</v>
      </c>
      <c r="H470" s="333" t="s">
        <v>2124</v>
      </c>
      <c r="I470" s="776" t="s">
        <v>2141</v>
      </c>
      <c r="J470" s="169" t="s">
        <v>1449</v>
      </c>
      <c r="K470" s="167">
        <v>4</v>
      </c>
      <c r="L470" s="453">
        <f>(E$467*E$469*M470)/1000000</f>
        <v>7.2</v>
      </c>
      <c r="M470" s="345">
        <v>16</v>
      </c>
      <c r="N470"/>
      <c r="O470" s="2"/>
      <c r="P470"/>
      <c r="Q470" s="2"/>
      <c r="R470"/>
      <c r="S470" s="2"/>
      <c r="U470" s="10"/>
      <c r="Y470"/>
      <c r="Z470"/>
      <c r="AA470"/>
      <c r="AB470"/>
      <c r="AC470"/>
      <c r="AD470"/>
      <c r="AE470"/>
      <c r="AF470"/>
    </row>
    <row r="471" spans="2:32" s="4" customFormat="1" ht="24" hidden="1" customHeight="1" outlineLevel="1">
      <c r="B471" s="781"/>
      <c r="C471" s="782"/>
      <c r="D471" s="782"/>
      <c r="E471" s="782"/>
      <c r="F471" s="783"/>
      <c r="G471" s="238"/>
      <c r="H471" s="333" t="s">
        <v>2124</v>
      </c>
      <c r="I471" s="776"/>
      <c r="J471" s="169" t="s">
        <v>1449</v>
      </c>
      <c r="K471" s="167">
        <v>3</v>
      </c>
      <c r="L471" s="453">
        <f t="shared" ref="L471:L475" si="53">(E$467*E$469*M471)/1000000</f>
        <v>2.7</v>
      </c>
      <c r="M471" s="345">
        <v>6</v>
      </c>
      <c r="N471"/>
      <c r="O471" s="2"/>
      <c r="P471"/>
      <c r="Q471" s="2"/>
      <c r="R471"/>
      <c r="S471" s="2"/>
      <c r="U471" s="10"/>
      <c r="Y471"/>
      <c r="Z471"/>
      <c r="AA471"/>
      <c r="AB471"/>
      <c r="AC471"/>
      <c r="AD471"/>
      <c r="AE471"/>
      <c r="AF471"/>
    </row>
    <row r="472" spans="2:32" s="4" customFormat="1" ht="24" hidden="1" customHeight="1" outlineLevel="1">
      <c r="B472" s="781"/>
      <c r="C472" s="782"/>
      <c r="D472" s="782"/>
      <c r="E472" s="782"/>
      <c r="F472" s="783"/>
      <c r="G472" s="238" t="s">
        <v>2036</v>
      </c>
      <c r="H472" s="333" t="s">
        <v>2124</v>
      </c>
      <c r="I472" s="776"/>
      <c r="J472" s="169" t="s">
        <v>1449</v>
      </c>
      <c r="K472" s="167">
        <v>4</v>
      </c>
      <c r="L472" s="453">
        <f t="shared" si="53"/>
        <v>7.2</v>
      </c>
      <c r="M472" s="345">
        <v>16</v>
      </c>
      <c r="N472"/>
      <c r="O472" s="2"/>
      <c r="P472"/>
      <c r="Q472" s="2"/>
      <c r="R472"/>
      <c r="S472" s="2"/>
      <c r="U472" s="10"/>
      <c r="Y472"/>
      <c r="Z472"/>
      <c r="AA472"/>
      <c r="AB472"/>
      <c r="AC472"/>
      <c r="AD472"/>
      <c r="AE472"/>
      <c r="AF472"/>
    </row>
    <row r="473" spans="2:32" s="4" customFormat="1" ht="24" hidden="1" customHeight="1" outlineLevel="1">
      <c r="B473" s="773"/>
      <c r="C473" s="774"/>
      <c r="D473" s="774"/>
      <c r="E473" s="774"/>
      <c r="F473" s="775"/>
      <c r="G473" s="271" t="s">
        <v>2237</v>
      </c>
      <c r="H473" s="333" t="s">
        <v>2124</v>
      </c>
      <c r="I473" s="776"/>
      <c r="J473" s="169" t="s">
        <v>1449</v>
      </c>
      <c r="K473" s="167">
        <v>3</v>
      </c>
      <c r="L473" s="453">
        <f t="shared" si="53"/>
        <v>5.4</v>
      </c>
      <c r="M473" s="345">
        <v>12</v>
      </c>
      <c r="N473"/>
      <c r="O473" s="2"/>
      <c r="P473"/>
      <c r="Q473" s="2"/>
      <c r="R473"/>
      <c r="S473" s="2"/>
      <c r="U473" s="10"/>
      <c r="Y473"/>
      <c r="Z473"/>
      <c r="AA473"/>
      <c r="AB473"/>
      <c r="AC473"/>
      <c r="AD473"/>
      <c r="AE473"/>
      <c r="AF473"/>
    </row>
    <row r="474" spans="2:32" s="4" customFormat="1" ht="24" hidden="1" customHeight="1" outlineLevel="1">
      <c r="B474" s="773"/>
      <c r="C474" s="774"/>
      <c r="D474" s="774"/>
      <c r="E474" s="774"/>
      <c r="F474" s="775"/>
      <c r="G474" s="272"/>
      <c r="H474" s="333" t="s">
        <v>2124</v>
      </c>
      <c r="I474" s="776"/>
      <c r="J474" s="169" t="s">
        <v>1449</v>
      </c>
      <c r="K474" s="167">
        <v>3</v>
      </c>
      <c r="L474" s="453">
        <f t="shared" si="53"/>
        <v>0</v>
      </c>
      <c r="M474" s="345">
        <v>0</v>
      </c>
      <c r="N474"/>
      <c r="O474" s="2"/>
      <c r="P474"/>
      <c r="Q474" s="2"/>
      <c r="R474"/>
      <c r="S474" s="2"/>
      <c r="U474" s="10"/>
      <c r="Y474"/>
      <c r="Z474"/>
      <c r="AA474"/>
      <c r="AB474"/>
      <c r="AC474"/>
      <c r="AD474"/>
      <c r="AE474"/>
      <c r="AF474"/>
    </row>
    <row r="475" spans="2:32" s="4" customFormat="1" ht="24" hidden="1" customHeight="1" outlineLevel="1" thickBot="1">
      <c r="B475" s="773"/>
      <c r="C475" s="774"/>
      <c r="D475" s="774"/>
      <c r="E475" s="774"/>
      <c r="F475" s="775"/>
      <c r="G475" s="459"/>
      <c r="H475" s="333" t="s">
        <v>2124</v>
      </c>
      <c r="I475" s="777"/>
      <c r="J475" s="169" t="s">
        <v>1449</v>
      </c>
      <c r="K475" s="167">
        <v>3</v>
      </c>
      <c r="L475" s="453">
        <f t="shared" si="53"/>
        <v>0</v>
      </c>
      <c r="M475" s="345">
        <v>0</v>
      </c>
      <c r="N475"/>
      <c r="O475" s="2"/>
      <c r="P475"/>
      <c r="Q475" s="2"/>
      <c r="R475"/>
      <c r="S475" s="2"/>
      <c r="U475" s="10"/>
      <c r="Y475"/>
      <c r="Z475"/>
      <c r="AA475"/>
      <c r="AB475"/>
      <c r="AC475"/>
      <c r="AD475"/>
      <c r="AE475"/>
      <c r="AF475"/>
    </row>
    <row r="476" spans="2:32" ht="15" customHeight="1" collapsed="1" thickBot="1">
      <c r="B476" s="163" t="s">
        <v>46</v>
      </c>
      <c r="C476" s="163"/>
      <c r="D476" s="163"/>
      <c r="E476" s="163"/>
      <c r="F476" s="163"/>
      <c r="G476" s="165"/>
      <c r="H476" s="12"/>
      <c r="I476" s="12"/>
      <c r="J476" s="12"/>
      <c r="K476" s="12"/>
      <c r="L476" s="370"/>
      <c r="M476" s="370"/>
      <c r="O476"/>
      <c r="P476"/>
      <c r="Q476" s="2"/>
      <c r="R476"/>
      <c r="S476" s="2"/>
      <c r="U476" s="10"/>
      <c r="V476" s="4"/>
      <c r="W476" s="4"/>
      <c r="X476" s="4"/>
    </row>
    <row r="477" spans="2:32" ht="28" customHeight="1" thickBot="1">
      <c r="B477" s="765" t="str">
        <f>B$2</f>
        <v>Damage Assessments for Sustainable Reconstruction in Ukraine</v>
      </c>
      <c r="C477" s="766"/>
      <c r="D477" s="766"/>
      <c r="E477" s="766"/>
      <c r="F477" s="766"/>
      <c r="G477" s="766"/>
      <c r="H477" s="766"/>
      <c r="I477" s="784" t="str">
        <f>I$2</f>
        <v>Irpin Urban Area</v>
      </c>
      <c r="J477" s="785"/>
      <c r="K477" s="786"/>
      <c r="L477" s="371" t="str">
        <f>L$74</f>
        <v>27Jan23</v>
      </c>
      <c r="M477" s="164">
        <v>22</v>
      </c>
      <c r="P477"/>
      <c r="Q477" s="2"/>
      <c r="R477"/>
      <c r="S477" s="2"/>
      <c r="T477"/>
      <c r="V477" s="4"/>
      <c r="W477" s="4"/>
      <c r="X477" s="4"/>
    </row>
    <row r="478" spans="2:32" ht="27" customHeight="1">
      <c r="B478" s="938" t="str">
        <f>Languages!$C$187&amp;" 6"</f>
        <v>Public and private transport 6</v>
      </c>
      <c r="C478" s="939"/>
      <c r="D478" s="787" t="str">
        <f>Languages!$N$176</f>
        <v>Information on main asset &amp; sub-assets</v>
      </c>
      <c r="E478" s="788" t="str">
        <f>Languages!$I$188</f>
        <v>Area and/or quantity assessed</v>
      </c>
      <c r="F478" s="789"/>
      <c r="G478" s="792" t="str">
        <f>Languages!$M$194</f>
        <v>Enter info on type and area / quantity of assets, type and extent of damage.</v>
      </c>
      <c r="H478" s="793"/>
      <c r="I478" s="796" t="s">
        <v>2118</v>
      </c>
      <c r="J478" s="798" t="str">
        <f>Languages!$K$177</f>
        <v>Approx. repair costs, priority 4 &amp; 5 assets, m. Euro</v>
      </c>
      <c r="K478" s="799"/>
      <c r="L478" s="372">
        <f>IF(K482&gt;3,L483)+IF(K491&gt;3,L492)</f>
        <v>76</v>
      </c>
      <c r="M478" s="368" t="s">
        <v>1966</v>
      </c>
      <c r="P478"/>
      <c r="Q478" s="2"/>
      <c r="R478"/>
      <c r="S478" s="2"/>
      <c r="T478"/>
      <c r="V478" s="4"/>
      <c r="W478" s="4"/>
      <c r="X478" s="4"/>
    </row>
    <row r="479" spans="2:32" ht="27" customHeight="1">
      <c r="B479" s="940"/>
      <c r="C479" s="941"/>
      <c r="D479" s="768"/>
      <c r="E479" s="790"/>
      <c r="F479" s="791"/>
      <c r="G479" s="794"/>
      <c r="H479" s="795"/>
      <c r="I479" s="797"/>
      <c r="J479" s="800" t="str">
        <f>Languages!$K$176</f>
        <v>Approx. total repair costs, m. Euro</v>
      </c>
      <c r="K479" s="801"/>
      <c r="L479" s="373">
        <f>L483+L492</f>
        <v>76</v>
      </c>
      <c r="M479" s="369" t="s">
        <v>1966</v>
      </c>
      <c r="P479"/>
      <c r="Q479" s="2"/>
      <c r="R479"/>
      <c r="S479" s="2"/>
      <c r="U479" s="10"/>
      <c r="V479" s="4"/>
      <c r="W479" s="4"/>
      <c r="X479" s="4"/>
    </row>
    <row r="480" spans="2:32" ht="23" customHeight="1">
      <c r="B480" s="940"/>
      <c r="C480" s="941"/>
      <c r="D480" s="768"/>
      <c r="E480" s="802" t="s">
        <v>1546</v>
      </c>
      <c r="F480" s="804" t="str">
        <f>Languages!$N$178</f>
        <v>Unit type</v>
      </c>
      <c r="G480" s="769" t="str">
        <f>G$77</f>
        <v>Asset or Component</v>
      </c>
      <c r="H480" s="767" t="s">
        <v>2251</v>
      </c>
      <c r="I480" s="331" t="s">
        <v>2117</v>
      </c>
      <c r="J480" s="771" t="str">
        <f>Languages!$K$178</f>
        <v>Actions</v>
      </c>
      <c r="K480" s="772"/>
      <c r="L480" s="763" t="s">
        <v>1550</v>
      </c>
      <c r="M480" s="764"/>
      <c r="P480"/>
      <c r="Q480" s="2"/>
      <c r="R480"/>
      <c r="S480" s="2"/>
      <c r="U480" s="10"/>
      <c r="V480" s="4"/>
      <c r="W480" s="4"/>
      <c r="X480" s="4"/>
    </row>
    <row r="481" spans="2:32" s="4" customFormat="1" ht="27" customHeight="1" thickBot="1">
      <c r="B481" s="940"/>
      <c r="C481" s="941"/>
      <c r="D481" s="768"/>
      <c r="E481" s="803"/>
      <c r="F481" s="805"/>
      <c r="G481" s="770"/>
      <c r="H481" s="768"/>
      <c r="I481" s="330" t="str">
        <f>Languages!$E$190</f>
        <v>Social Impact level</v>
      </c>
      <c r="J481" s="492" t="str">
        <f>Languages!$K$185</f>
        <v>Action required</v>
      </c>
      <c r="K481" s="504" t="str">
        <f>Languages!$G$193</f>
        <v>Priority 
1 - 5</v>
      </c>
      <c r="L481" s="541" t="s">
        <v>1551</v>
      </c>
      <c r="M481" s="543" t="s">
        <v>1774</v>
      </c>
      <c r="N481"/>
      <c r="P481"/>
      <c r="R481"/>
      <c r="S481" s="2"/>
      <c r="U481" s="10"/>
      <c r="Y481"/>
      <c r="Z481"/>
      <c r="AA481"/>
      <c r="AB481"/>
      <c r="AC481"/>
      <c r="AD481"/>
      <c r="AE481"/>
      <c r="AF481"/>
    </row>
    <row r="482" spans="2:32" s="4" customFormat="1" ht="24" customHeight="1">
      <c r="B482" s="739" t="str">
        <f>Languages!$C$251</f>
        <v>Exterior parking area</v>
      </c>
      <c r="C482" s="740"/>
      <c r="D482" s="553" t="s">
        <v>2178</v>
      </c>
      <c r="E482" s="817">
        <v>440</v>
      </c>
      <c r="F482" s="818"/>
      <c r="G482" s="711" t="str">
        <f>G$11</f>
        <v>Asset / Component</v>
      </c>
      <c r="H482" s="734" t="s">
        <v>2123</v>
      </c>
      <c r="I482" s="545" t="s">
        <v>2103</v>
      </c>
      <c r="J482" s="711" t="s">
        <v>2212</v>
      </c>
      <c r="K482" s="807">
        <f>SUM(K485:K487)/3</f>
        <v>4</v>
      </c>
      <c r="L482" s="546" t="s">
        <v>2214</v>
      </c>
      <c r="M482" s="757"/>
      <c r="N482"/>
      <c r="P482"/>
      <c r="R482"/>
      <c r="S482" s="2"/>
      <c r="U482" s="10"/>
      <c r="Y482"/>
      <c r="Z482"/>
      <c r="AA482"/>
      <c r="AB482"/>
      <c r="AC482"/>
      <c r="AD482"/>
      <c r="AE482"/>
      <c r="AF482"/>
    </row>
    <row r="483" spans="2:32" s="4" customFormat="1" ht="24" customHeight="1" thickBot="1">
      <c r="B483" s="741"/>
      <c r="C483" s="742"/>
      <c r="D483" s="569" t="str">
        <f>D$243</f>
        <v>Aggregate volume</v>
      </c>
      <c r="E483" s="759">
        <f>E482*E484</f>
        <v>440000</v>
      </c>
      <c r="F483" s="760"/>
      <c r="G483" s="806"/>
      <c r="H483" s="914"/>
      <c r="I483" s="567" t="s">
        <v>2120</v>
      </c>
      <c r="J483" s="806"/>
      <c r="K483" s="808"/>
      <c r="L483" s="570">
        <f>SUM(M485:M487)</f>
        <v>38</v>
      </c>
      <c r="M483" s="758"/>
      <c r="N483"/>
      <c r="P483"/>
      <c r="R483"/>
      <c r="S483" s="2"/>
      <c r="U483" s="10"/>
      <c r="Y483"/>
      <c r="Z483"/>
      <c r="AA483"/>
      <c r="AB483"/>
      <c r="AC483"/>
      <c r="AD483"/>
      <c r="AE483"/>
      <c r="AF483"/>
    </row>
    <row r="484" spans="2:32" s="4" customFormat="1" ht="24" hidden="1" customHeight="1" outlineLevel="1">
      <c r="B484" s="475"/>
      <c r="C484" s="476"/>
      <c r="D484" s="554" t="s">
        <v>1784</v>
      </c>
      <c r="E484" s="557">
        <v>1000</v>
      </c>
      <c r="F484" s="171" t="s">
        <v>1773</v>
      </c>
      <c r="G484" s="461" t="s">
        <v>2130</v>
      </c>
      <c r="H484" s="523" t="s">
        <v>2250</v>
      </c>
      <c r="I484" s="324"/>
      <c r="J484" s="523" t="s">
        <v>28</v>
      </c>
      <c r="K484" s="524" t="str">
        <f>Languages!$G$193</f>
        <v>Priority 
1 - 5</v>
      </c>
      <c r="L484" s="761"/>
      <c r="M484" s="762"/>
      <c r="N484"/>
      <c r="P484"/>
      <c r="R484"/>
      <c r="S484" s="2"/>
      <c r="U484" s="10"/>
      <c r="Y484"/>
      <c r="Z484"/>
      <c r="AA484"/>
      <c r="AB484"/>
      <c r="AC484"/>
      <c r="AD484"/>
      <c r="AE484"/>
      <c r="AF484"/>
    </row>
    <row r="485" spans="2:32" s="4" customFormat="1" ht="24" hidden="1" customHeight="1" outlineLevel="1">
      <c r="B485" s="778"/>
      <c r="C485" s="779"/>
      <c r="D485" s="779"/>
      <c r="E485" s="779"/>
      <c r="F485" s="780"/>
      <c r="G485" s="238" t="s">
        <v>1946</v>
      </c>
      <c r="H485" s="333" t="s">
        <v>2124</v>
      </c>
      <c r="I485" s="776" t="s">
        <v>2141</v>
      </c>
      <c r="J485" s="169" t="s">
        <v>1449</v>
      </c>
      <c r="K485" s="167">
        <v>4</v>
      </c>
      <c r="L485" s="453">
        <f>(E$266*E$268*M485)/1000000</f>
        <v>0.112</v>
      </c>
      <c r="M485" s="345">
        <v>16</v>
      </c>
      <c r="N485"/>
      <c r="P485"/>
      <c r="R485"/>
      <c r="S485" s="2"/>
      <c r="U485" s="10"/>
      <c r="Y485"/>
      <c r="Z485"/>
      <c r="AA485"/>
      <c r="AB485"/>
      <c r="AC485"/>
      <c r="AD485"/>
      <c r="AE485"/>
      <c r="AF485"/>
    </row>
    <row r="486" spans="2:32" s="4" customFormat="1" ht="24" hidden="1" customHeight="1" outlineLevel="1">
      <c r="B486" s="781"/>
      <c r="C486" s="782"/>
      <c r="D486" s="782"/>
      <c r="E486" s="782"/>
      <c r="F486" s="783"/>
      <c r="G486" s="238" t="s">
        <v>1947</v>
      </c>
      <c r="H486" s="333" t="s">
        <v>2124</v>
      </c>
      <c r="I486" s="776"/>
      <c r="J486" s="169" t="s">
        <v>1449</v>
      </c>
      <c r="K486" s="167">
        <v>4</v>
      </c>
      <c r="L486" s="453">
        <f t="shared" ref="L486:L487" si="54">(E$266*E$268*M486)/1000000</f>
        <v>4.2000000000000003E-2</v>
      </c>
      <c r="M486" s="345">
        <v>6</v>
      </c>
      <c r="N486"/>
      <c r="P486"/>
      <c r="R486"/>
      <c r="S486" s="2"/>
      <c r="U486" s="10"/>
      <c r="Y486"/>
      <c r="Z486"/>
      <c r="AA486"/>
      <c r="AB486"/>
      <c r="AC486"/>
      <c r="AD486"/>
      <c r="AE486"/>
      <c r="AF486"/>
    </row>
    <row r="487" spans="2:32" s="4" customFormat="1" ht="24" hidden="1" customHeight="1" outlineLevel="1">
      <c r="B487" s="781"/>
      <c r="C487" s="782"/>
      <c r="D487" s="782"/>
      <c r="E487" s="782"/>
      <c r="F487" s="783"/>
      <c r="G487" s="238" t="s">
        <v>2036</v>
      </c>
      <c r="H487" s="333" t="s">
        <v>2124</v>
      </c>
      <c r="I487" s="776"/>
      <c r="J487" s="169" t="s">
        <v>1449</v>
      </c>
      <c r="K487" s="167">
        <v>4</v>
      </c>
      <c r="L487" s="453">
        <f t="shared" si="54"/>
        <v>0.112</v>
      </c>
      <c r="M487" s="345">
        <v>16</v>
      </c>
      <c r="N487"/>
      <c r="P487"/>
      <c r="R487"/>
      <c r="S487" s="2"/>
      <c r="U487" s="10"/>
      <c r="Y487"/>
      <c r="Z487"/>
      <c r="AA487"/>
      <c r="AB487"/>
      <c r="AC487"/>
      <c r="AD487"/>
      <c r="AE487"/>
      <c r="AF487"/>
    </row>
    <row r="488" spans="2:32" s="4" customFormat="1" ht="24" hidden="1" customHeight="1" outlineLevel="1">
      <c r="B488" s="773"/>
      <c r="C488" s="774"/>
      <c r="D488" s="774"/>
      <c r="E488" s="774"/>
      <c r="F488" s="775"/>
      <c r="G488" s="271" t="s">
        <v>2237</v>
      </c>
      <c r="H488" s="333" t="s">
        <v>2124</v>
      </c>
      <c r="I488" s="776"/>
      <c r="J488" s="169" t="s">
        <v>1449</v>
      </c>
      <c r="K488" s="167">
        <v>3</v>
      </c>
      <c r="L488" s="453">
        <f>(E$266*E$268*M488)/1000000</f>
        <v>0.112</v>
      </c>
      <c r="M488" s="345">
        <v>16</v>
      </c>
      <c r="N488"/>
      <c r="O488" s="2"/>
      <c r="P488"/>
      <c r="Q488" s="2"/>
      <c r="R488"/>
      <c r="S488" s="2"/>
      <c r="U488" s="10"/>
      <c r="Y488"/>
      <c r="Z488"/>
      <c r="AA488"/>
      <c r="AB488"/>
      <c r="AC488"/>
      <c r="AD488"/>
      <c r="AE488"/>
      <c r="AF488"/>
    </row>
    <row r="489" spans="2:32" s="4" customFormat="1" ht="24" hidden="1" customHeight="1" outlineLevel="1">
      <c r="B489" s="773"/>
      <c r="C489" s="774"/>
      <c r="D489" s="774"/>
      <c r="E489" s="774"/>
      <c r="F489" s="775"/>
      <c r="G489" s="272"/>
      <c r="H489" s="333" t="s">
        <v>2124</v>
      </c>
      <c r="I489" s="776"/>
      <c r="J489" s="169" t="s">
        <v>1449</v>
      </c>
      <c r="K489" s="167">
        <v>3</v>
      </c>
      <c r="L489" s="453">
        <f t="shared" ref="L489:L490" si="55">(E$266*E$268*M489)/1000000</f>
        <v>0</v>
      </c>
      <c r="M489" s="345">
        <v>0</v>
      </c>
      <c r="N489"/>
      <c r="O489" s="2"/>
      <c r="P489"/>
      <c r="Q489" s="2"/>
      <c r="R489"/>
      <c r="S489" s="2"/>
      <c r="U489" s="10"/>
      <c r="Y489"/>
      <c r="Z489"/>
      <c r="AA489"/>
      <c r="AB489"/>
      <c r="AC489"/>
      <c r="AD489"/>
      <c r="AE489"/>
      <c r="AF489"/>
    </row>
    <row r="490" spans="2:32" s="4" customFormat="1" ht="24" hidden="1" customHeight="1" outlineLevel="1" thickBot="1">
      <c r="B490" s="773"/>
      <c r="C490" s="774"/>
      <c r="D490" s="774"/>
      <c r="E490" s="774"/>
      <c r="F490" s="775"/>
      <c r="G490" s="459"/>
      <c r="H490" s="513" t="s">
        <v>2124</v>
      </c>
      <c r="I490" s="776"/>
      <c r="J490" s="169" t="s">
        <v>1449</v>
      </c>
      <c r="K490" s="456">
        <v>3</v>
      </c>
      <c r="L490" s="548">
        <f t="shared" si="55"/>
        <v>0</v>
      </c>
      <c r="M490" s="356">
        <v>0</v>
      </c>
      <c r="N490"/>
      <c r="O490" s="2"/>
      <c r="P490"/>
      <c r="Q490" s="2"/>
      <c r="R490"/>
      <c r="S490" s="2"/>
      <c r="U490" s="10"/>
      <c r="Y490"/>
      <c r="Z490"/>
      <c r="AA490"/>
      <c r="AB490"/>
      <c r="AC490"/>
      <c r="AD490"/>
      <c r="AE490"/>
      <c r="AF490"/>
    </row>
    <row r="491" spans="2:32" ht="24" customHeight="1" collapsed="1">
      <c r="B491" s="739" t="str">
        <f>Languages!$C$252</f>
        <v>Bicycle stations</v>
      </c>
      <c r="C491" s="740"/>
      <c r="D491" s="553" t="s">
        <v>2178</v>
      </c>
      <c r="E491" s="817">
        <v>300</v>
      </c>
      <c r="F491" s="818"/>
      <c r="G491" s="711" t="str">
        <f>G$11</f>
        <v>Asset / Component</v>
      </c>
      <c r="H491" s="734" t="s">
        <v>2123</v>
      </c>
      <c r="I491" s="545" t="s">
        <v>2103</v>
      </c>
      <c r="J491" s="711" t="s">
        <v>2212</v>
      </c>
      <c r="K491" s="807">
        <f>SUM(K494:K496)/3</f>
        <v>4</v>
      </c>
      <c r="L491" s="546" t="s">
        <v>2214</v>
      </c>
      <c r="M491" s="757"/>
      <c r="P491"/>
      <c r="Q491" s="2"/>
      <c r="R491"/>
      <c r="S491"/>
      <c r="T491"/>
    </row>
    <row r="492" spans="2:32" ht="24" customHeight="1" thickBot="1">
      <c r="B492" s="741"/>
      <c r="C492" s="742"/>
      <c r="D492" s="569" t="s">
        <v>1563</v>
      </c>
      <c r="E492" s="759">
        <f>E491*E493</f>
        <v>33000</v>
      </c>
      <c r="F492" s="760"/>
      <c r="G492" s="806"/>
      <c r="H492" s="914"/>
      <c r="I492" s="567" t="s">
        <v>2120</v>
      </c>
      <c r="J492" s="806"/>
      <c r="K492" s="808"/>
      <c r="L492" s="570">
        <f>SUM(M494:M496)</f>
        <v>38</v>
      </c>
      <c r="M492" s="758"/>
      <c r="P492"/>
      <c r="Q492" s="2"/>
      <c r="R492"/>
      <c r="S492"/>
      <c r="T492"/>
    </row>
    <row r="493" spans="2:32" s="4" customFormat="1" ht="24" hidden="1" customHeight="1" outlineLevel="1">
      <c r="B493" s="471"/>
      <c r="C493" s="472"/>
      <c r="D493" s="554" t="s">
        <v>1562</v>
      </c>
      <c r="E493" s="557">
        <v>110</v>
      </c>
      <c r="F493" s="339" t="s">
        <v>1564</v>
      </c>
      <c r="G493" s="461" t="s">
        <v>2130</v>
      </c>
      <c r="H493" s="523" t="s">
        <v>2250</v>
      </c>
      <c r="I493" s="324"/>
      <c r="J493" s="523" t="s">
        <v>28</v>
      </c>
      <c r="K493" s="524" t="str">
        <f>Languages!$G$193</f>
        <v>Priority 
1 - 5</v>
      </c>
      <c r="L493" s="761"/>
      <c r="M493" s="762"/>
      <c r="N493"/>
      <c r="P493"/>
      <c r="R493"/>
      <c r="S493" s="2"/>
      <c r="U493" s="10"/>
      <c r="Y493"/>
      <c r="Z493"/>
      <c r="AA493"/>
      <c r="AB493"/>
      <c r="AC493"/>
      <c r="AD493"/>
      <c r="AE493"/>
      <c r="AF493"/>
    </row>
    <row r="494" spans="2:32" s="4" customFormat="1" ht="24" hidden="1" customHeight="1" outlineLevel="1">
      <c r="B494" s="778"/>
      <c r="C494" s="779"/>
      <c r="D494" s="779"/>
      <c r="E494" s="779"/>
      <c r="F494" s="780"/>
      <c r="G494" s="238" t="s">
        <v>1946</v>
      </c>
      <c r="H494" s="333" t="s">
        <v>2124</v>
      </c>
      <c r="I494" s="776" t="s">
        <v>2141</v>
      </c>
      <c r="J494" s="169" t="s">
        <v>1449</v>
      </c>
      <c r="K494" s="167">
        <v>4</v>
      </c>
      <c r="L494" s="453">
        <f>(E$266*E$268*M494)/1000000</f>
        <v>0.112</v>
      </c>
      <c r="M494" s="345">
        <v>16</v>
      </c>
      <c r="N494"/>
      <c r="O494" s="2"/>
      <c r="P494"/>
      <c r="Q494" s="2"/>
      <c r="R494"/>
      <c r="S494" s="2"/>
      <c r="U494" s="10"/>
      <c r="Y494"/>
      <c r="Z494"/>
      <c r="AA494"/>
      <c r="AB494"/>
      <c r="AC494"/>
      <c r="AD494"/>
      <c r="AE494"/>
      <c r="AF494"/>
    </row>
    <row r="495" spans="2:32" s="4" customFormat="1" ht="24" hidden="1" customHeight="1" outlineLevel="1">
      <c r="B495" s="781"/>
      <c r="C495" s="782"/>
      <c r="D495" s="782"/>
      <c r="E495" s="782"/>
      <c r="F495" s="783"/>
      <c r="G495" s="238" t="s">
        <v>1947</v>
      </c>
      <c r="H495" s="333" t="s">
        <v>2124</v>
      </c>
      <c r="I495" s="776"/>
      <c r="J495" s="169" t="s">
        <v>1449</v>
      </c>
      <c r="K495" s="167">
        <v>4</v>
      </c>
      <c r="L495" s="453">
        <f>(E$266*E$268*M495)/1000000</f>
        <v>4.2000000000000003E-2</v>
      </c>
      <c r="M495" s="345">
        <v>6</v>
      </c>
      <c r="N495"/>
      <c r="O495" s="2"/>
      <c r="P495"/>
      <c r="Q495" s="2"/>
      <c r="R495"/>
      <c r="S495" s="2"/>
      <c r="U495" s="10"/>
      <c r="Y495"/>
      <c r="Z495"/>
      <c r="AA495"/>
      <c r="AB495"/>
      <c r="AC495"/>
      <c r="AD495"/>
      <c r="AE495"/>
      <c r="AF495"/>
    </row>
    <row r="496" spans="2:32" s="4" customFormat="1" ht="24" hidden="1" customHeight="1" outlineLevel="1">
      <c r="B496" s="781"/>
      <c r="C496" s="782"/>
      <c r="D496" s="782"/>
      <c r="E496" s="782"/>
      <c r="F496" s="783"/>
      <c r="G496" s="458" t="s">
        <v>2036</v>
      </c>
      <c r="H496" s="333" t="s">
        <v>2124</v>
      </c>
      <c r="I496" s="776"/>
      <c r="J496" s="169" t="s">
        <v>1449</v>
      </c>
      <c r="K496" s="167">
        <v>4</v>
      </c>
      <c r="L496" s="453">
        <f>(E$266*E$268*M496)/1000000</f>
        <v>0.112</v>
      </c>
      <c r="M496" s="345">
        <v>16</v>
      </c>
      <c r="N496"/>
      <c r="O496" s="2"/>
      <c r="P496"/>
      <c r="Q496" s="2"/>
      <c r="R496"/>
      <c r="S496" s="2"/>
      <c r="U496" s="10"/>
      <c r="Y496"/>
      <c r="Z496"/>
      <c r="AA496"/>
      <c r="AB496"/>
      <c r="AC496"/>
      <c r="AD496"/>
      <c r="AE496"/>
      <c r="AF496"/>
    </row>
    <row r="497" spans="2:32" s="4" customFormat="1" ht="24" hidden="1" customHeight="1" outlineLevel="1">
      <c r="B497" s="773"/>
      <c r="C497" s="774"/>
      <c r="D497" s="774"/>
      <c r="E497" s="774"/>
      <c r="F497" s="775"/>
      <c r="G497" s="271"/>
      <c r="H497" s="333" t="s">
        <v>2124</v>
      </c>
      <c r="I497" s="776"/>
      <c r="J497" s="169" t="s">
        <v>1449</v>
      </c>
      <c r="K497" s="167">
        <v>3</v>
      </c>
      <c r="L497" s="453">
        <f>(E$266*E$268*M497)/1000000</f>
        <v>0</v>
      </c>
      <c r="M497" s="345">
        <v>0</v>
      </c>
      <c r="N497"/>
      <c r="O497" s="2"/>
      <c r="P497"/>
      <c r="Q497" s="2"/>
      <c r="R497"/>
      <c r="S497" s="2"/>
      <c r="U497" s="10"/>
      <c r="Y497"/>
      <c r="Z497"/>
      <c r="AA497"/>
      <c r="AB497"/>
      <c r="AC497"/>
      <c r="AD497"/>
      <c r="AE497"/>
      <c r="AF497"/>
    </row>
    <row r="498" spans="2:32" s="4" customFormat="1" ht="24" hidden="1" customHeight="1" outlineLevel="1">
      <c r="B498" s="773"/>
      <c r="C498" s="774"/>
      <c r="D498" s="774"/>
      <c r="E498" s="774"/>
      <c r="F498" s="775"/>
      <c r="G498" s="271"/>
      <c r="H498" s="333" t="s">
        <v>2124</v>
      </c>
      <c r="I498" s="776"/>
      <c r="J498" s="169" t="s">
        <v>1449</v>
      </c>
      <c r="K498" s="167">
        <v>3</v>
      </c>
      <c r="L498" s="453">
        <f>(E$266*E$268*M498)/1000000</f>
        <v>0</v>
      </c>
      <c r="M498" s="345">
        <v>0</v>
      </c>
      <c r="N498"/>
      <c r="O498" s="2"/>
      <c r="P498"/>
      <c r="Q498" s="2"/>
      <c r="R498"/>
      <c r="S498" s="2"/>
      <c r="U498" s="10"/>
      <c r="Y498"/>
      <c r="Z498"/>
      <c r="AA498"/>
      <c r="AB498"/>
      <c r="AC498"/>
      <c r="AD498"/>
      <c r="AE498"/>
      <c r="AF498"/>
    </row>
    <row r="499" spans="2:32" s="4" customFormat="1" ht="24" hidden="1" customHeight="1" outlineLevel="1" thickBot="1">
      <c r="B499" s="773"/>
      <c r="C499" s="774"/>
      <c r="D499" s="774"/>
      <c r="E499" s="774"/>
      <c r="F499" s="775"/>
      <c r="G499" s="272"/>
      <c r="H499" s="333" t="s">
        <v>2124</v>
      </c>
      <c r="I499" s="777"/>
      <c r="J499" s="169" t="s">
        <v>1449</v>
      </c>
      <c r="K499" s="167">
        <v>3</v>
      </c>
      <c r="L499" s="453">
        <f t="shared" ref="L499" si="56">(E$266*E$268*M499)/1000000</f>
        <v>0</v>
      </c>
      <c r="M499" s="345">
        <v>0</v>
      </c>
      <c r="N499"/>
      <c r="O499" s="2"/>
      <c r="P499"/>
      <c r="Q499" s="2"/>
      <c r="R499"/>
      <c r="S499" s="2"/>
      <c r="U499" s="10"/>
      <c r="Y499"/>
      <c r="Z499"/>
      <c r="AA499"/>
      <c r="AB499"/>
      <c r="AC499"/>
      <c r="AD499"/>
      <c r="AE499"/>
      <c r="AF499"/>
    </row>
    <row r="500" spans="2:32" ht="15" customHeight="1" collapsed="1" thickBot="1">
      <c r="B500" s="163" t="s">
        <v>46</v>
      </c>
      <c r="C500" s="163"/>
      <c r="D500" s="163"/>
      <c r="E500" s="163"/>
      <c r="F500" s="163"/>
      <c r="G500" s="165"/>
      <c r="H500" s="12"/>
      <c r="I500" s="12"/>
      <c r="J500" s="12"/>
      <c r="K500" s="12"/>
      <c r="L500" s="370"/>
      <c r="M500" s="370"/>
      <c r="O500"/>
      <c r="P500"/>
      <c r="Q500" s="2"/>
      <c r="R500"/>
      <c r="S500" s="2"/>
      <c r="U500" s="10"/>
      <c r="V500" s="4"/>
      <c r="W500" s="4"/>
      <c r="X500" s="4"/>
    </row>
    <row r="501" spans="2:32" ht="28" customHeight="1" thickBot="1">
      <c r="B501" s="765" t="str">
        <f>B$2</f>
        <v>Damage Assessments for Sustainable Reconstruction in Ukraine</v>
      </c>
      <c r="C501" s="766"/>
      <c r="D501" s="766"/>
      <c r="E501" s="766"/>
      <c r="F501" s="766"/>
      <c r="G501" s="766"/>
      <c r="H501" s="766"/>
      <c r="I501" s="784" t="str">
        <f>I$2</f>
        <v>Irpin Urban Area</v>
      </c>
      <c r="J501" s="785"/>
      <c r="K501" s="786"/>
      <c r="L501" s="371" t="str">
        <f>L$74</f>
        <v>27Jan23</v>
      </c>
      <c r="M501" s="164">
        <v>23</v>
      </c>
      <c r="P501"/>
      <c r="Q501" s="2"/>
      <c r="R501"/>
      <c r="S501" s="2"/>
      <c r="T501"/>
      <c r="V501" s="4"/>
      <c r="W501" s="4"/>
      <c r="X501" s="4"/>
    </row>
    <row r="502" spans="2:32" ht="24" customHeight="1">
      <c r="B502" s="938" t="str">
        <f>Languages!$C$187&amp;" 7"</f>
        <v>Public and private transport 7</v>
      </c>
      <c r="C502" s="939"/>
      <c r="D502" s="787" t="str">
        <f>Languages!$N$176</f>
        <v>Information on main asset &amp; sub-assets</v>
      </c>
      <c r="E502" s="788" t="str">
        <f>Languages!$I$188</f>
        <v>Area and/or quantity assessed</v>
      </c>
      <c r="F502" s="789"/>
      <c r="G502" s="792" t="str">
        <f>Languages!$M$194</f>
        <v>Enter info on type and area / quantity of assets, type and extent of damage.</v>
      </c>
      <c r="H502" s="793"/>
      <c r="I502" s="796" t="s">
        <v>2118</v>
      </c>
      <c r="J502" s="798" t="str">
        <f>Languages!$K$177</f>
        <v>Approx. repair costs, priority 4 &amp; 5 assets, m. Euro</v>
      </c>
      <c r="K502" s="799"/>
      <c r="L502" s="372">
        <f>IF(K506&gt;3,L507)+IF(K512&gt;3,L513)</f>
        <v>76</v>
      </c>
      <c r="M502" s="368" t="s">
        <v>1966</v>
      </c>
      <c r="P502"/>
      <c r="Q502" s="2"/>
      <c r="R502"/>
      <c r="S502" s="2"/>
      <c r="T502"/>
      <c r="V502" s="4"/>
      <c r="W502" s="4"/>
      <c r="X502" s="4"/>
    </row>
    <row r="503" spans="2:32" ht="24" customHeight="1">
      <c r="B503" s="940"/>
      <c r="C503" s="941"/>
      <c r="D503" s="768"/>
      <c r="E503" s="790"/>
      <c r="F503" s="791"/>
      <c r="G503" s="794"/>
      <c r="H503" s="795"/>
      <c r="I503" s="797"/>
      <c r="J503" s="800" t="str">
        <f>Languages!$K$176</f>
        <v>Approx. total repair costs, m. Euro</v>
      </c>
      <c r="K503" s="801"/>
      <c r="L503" s="373">
        <f>(L507+L513)</f>
        <v>76</v>
      </c>
      <c r="M503" s="369" t="s">
        <v>1966</v>
      </c>
      <c r="P503"/>
      <c r="Q503" s="2"/>
      <c r="R503"/>
      <c r="S503" s="2"/>
      <c r="U503" s="10"/>
      <c r="V503" s="4"/>
      <c r="W503" s="4"/>
      <c r="X503" s="4"/>
    </row>
    <row r="504" spans="2:32" ht="24" customHeight="1">
      <c r="B504" s="940"/>
      <c r="C504" s="941"/>
      <c r="D504" s="768"/>
      <c r="E504" s="802" t="s">
        <v>1546</v>
      </c>
      <c r="F504" s="804" t="str">
        <f>Languages!$N$178</f>
        <v>Unit type</v>
      </c>
      <c r="G504" s="769" t="str">
        <f>G$77</f>
        <v>Asset or Component</v>
      </c>
      <c r="H504" s="767" t="s">
        <v>2251</v>
      </c>
      <c r="I504" s="331" t="s">
        <v>2117</v>
      </c>
      <c r="J504" s="771" t="str">
        <f>Languages!$K$178</f>
        <v>Actions</v>
      </c>
      <c r="K504" s="772"/>
      <c r="L504" s="763" t="s">
        <v>1550</v>
      </c>
      <c r="M504" s="764"/>
      <c r="P504"/>
      <c r="Q504" s="2"/>
      <c r="R504"/>
      <c r="S504" s="2"/>
      <c r="U504" s="10"/>
      <c r="V504" s="4"/>
      <c r="W504" s="4"/>
      <c r="X504" s="4"/>
    </row>
    <row r="505" spans="2:32" s="4" customFormat="1" ht="24" customHeight="1" thickBot="1">
      <c r="B505" s="940"/>
      <c r="C505" s="941"/>
      <c r="D505" s="768"/>
      <c r="E505" s="803"/>
      <c r="F505" s="805"/>
      <c r="G505" s="770"/>
      <c r="H505" s="768"/>
      <c r="I505" s="330" t="str">
        <f>Languages!$E$190</f>
        <v>Social Impact level</v>
      </c>
      <c r="J505" s="492" t="str">
        <f>Languages!$K$185</f>
        <v>Action required</v>
      </c>
      <c r="K505" s="504" t="str">
        <f>Languages!$G$193</f>
        <v>Priority 
1 - 5</v>
      </c>
      <c r="L505" s="541" t="s">
        <v>1551</v>
      </c>
      <c r="M505" s="543" t="s">
        <v>1774</v>
      </c>
      <c r="N505"/>
      <c r="P505"/>
      <c r="R505"/>
      <c r="S505" s="2"/>
      <c r="U505" s="10"/>
      <c r="Y505"/>
      <c r="Z505"/>
      <c r="AA505"/>
      <c r="AB505"/>
      <c r="AC505"/>
      <c r="AD505"/>
      <c r="AE505"/>
      <c r="AF505"/>
    </row>
    <row r="506" spans="2:32" ht="24" customHeight="1">
      <c r="B506" s="739" t="str">
        <f>Languages!$C$253</f>
        <v>Footpaths</v>
      </c>
      <c r="C506" s="740"/>
      <c r="D506" s="553" t="s">
        <v>2178</v>
      </c>
      <c r="E506" s="817">
        <v>22</v>
      </c>
      <c r="F506" s="818"/>
      <c r="G506" s="711" t="str">
        <f>G$11</f>
        <v>Asset / Component</v>
      </c>
      <c r="H506" s="734" t="s">
        <v>2123</v>
      </c>
      <c r="I506" s="545" t="s">
        <v>2103</v>
      </c>
      <c r="J506" s="711" t="s">
        <v>2212</v>
      </c>
      <c r="K506" s="807">
        <f>SUM(K509:K511)/3</f>
        <v>4</v>
      </c>
      <c r="L506" s="546" t="s">
        <v>2214</v>
      </c>
      <c r="M506" s="757"/>
      <c r="P506"/>
      <c r="Q506" s="2"/>
      <c r="R506"/>
      <c r="S506"/>
      <c r="T506"/>
    </row>
    <row r="507" spans="2:32" ht="24" customHeight="1" thickBot="1">
      <c r="B507" s="741"/>
      <c r="C507" s="742"/>
      <c r="D507" s="569" t="s">
        <v>1563</v>
      </c>
      <c r="E507" s="759">
        <f>E506*E508</f>
        <v>550</v>
      </c>
      <c r="F507" s="760"/>
      <c r="G507" s="806"/>
      <c r="H507" s="914"/>
      <c r="I507" s="567" t="s">
        <v>2120</v>
      </c>
      <c r="J507" s="806"/>
      <c r="K507" s="808"/>
      <c r="L507" s="570">
        <f>SUM(M509:M511)</f>
        <v>38</v>
      </c>
      <c r="M507" s="758"/>
      <c r="P507"/>
      <c r="Q507" s="2"/>
      <c r="R507"/>
      <c r="S507"/>
      <c r="T507"/>
    </row>
    <row r="508" spans="2:32" s="4" customFormat="1" ht="24" hidden="1" customHeight="1" outlineLevel="1">
      <c r="B508" s="743"/>
      <c r="C508" s="744"/>
      <c r="D508" s="554" t="s">
        <v>1562</v>
      </c>
      <c r="E508" s="557">
        <v>25</v>
      </c>
      <c r="F508" s="339" t="s">
        <v>1564</v>
      </c>
      <c r="G508" s="461" t="s">
        <v>2130</v>
      </c>
      <c r="H508" s="523" t="s">
        <v>2250</v>
      </c>
      <c r="I508" s="324"/>
      <c r="J508" s="523" t="s">
        <v>28</v>
      </c>
      <c r="K508" s="524" t="str">
        <f>Languages!$G$193</f>
        <v>Priority 
1 - 5</v>
      </c>
      <c r="L508" s="761"/>
      <c r="M508" s="762"/>
      <c r="N508"/>
      <c r="P508"/>
      <c r="R508"/>
      <c r="S508" s="2"/>
      <c r="U508" s="10"/>
      <c r="Y508"/>
      <c r="Z508"/>
      <c r="AA508"/>
      <c r="AB508"/>
      <c r="AC508"/>
      <c r="AD508"/>
      <c r="AE508"/>
      <c r="AF508"/>
    </row>
    <row r="509" spans="2:32" s="4" customFormat="1" ht="24" hidden="1" customHeight="1" outlineLevel="1">
      <c r="B509" s="814"/>
      <c r="C509" s="815"/>
      <c r="D509" s="815"/>
      <c r="E509" s="815"/>
      <c r="F509" s="816"/>
      <c r="G509" s="238" t="s">
        <v>2036</v>
      </c>
      <c r="H509" s="333" t="s">
        <v>2124</v>
      </c>
      <c r="I509" s="776" t="s">
        <v>2141</v>
      </c>
      <c r="J509" s="169" t="s">
        <v>1449</v>
      </c>
      <c r="K509" s="167">
        <v>4</v>
      </c>
      <c r="L509" s="453">
        <f>(E$506*E$508*M509)/1000000</f>
        <v>8.8000000000000005E-3</v>
      </c>
      <c r="M509" s="345">
        <v>16</v>
      </c>
      <c r="N509"/>
      <c r="O509" s="2"/>
      <c r="P509"/>
      <c r="Q509" s="2"/>
      <c r="R509"/>
      <c r="S509" s="2"/>
      <c r="U509" s="10"/>
      <c r="Y509"/>
      <c r="Z509"/>
      <c r="AA509"/>
      <c r="AB509"/>
      <c r="AC509"/>
      <c r="AD509"/>
      <c r="AE509"/>
      <c r="AF509"/>
    </row>
    <row r="510" spans="2:32" s="4" customFormat="1" ht="24" hidden="1" customHeight="1" outlineLevel="1">
      <c r="B510" s="773"/>
      <c r="C510" s="774"/>
      <c r="D510" s="774"/>
      <c r="E510" s="774"/>
      <c r="F510" s="775"/>
      <c r="G510" s="271" t="s">
        <v>2237</v>
      </c>
      <c r="H510" s="333" t="s">
        <v>2124</v>
      </c>
      <c r="I510" s="776"/>
      <c r="J510" s="169" t="s">
        <v>1447</v>
      </c>
      <c r="K510" s="167">
        <v>4</v>
      </c>
      <c r="L510" s="453">
        <f>(E$506*E$508*M510)/1000000</f>
        <v>3.3E-3</v>
      </c>
      <c r="M510" s="345">
        <v>6</v>
      </c>
      <c r="N510"/>
      <c r="O510" s="2"/>
      <c r="P510"/>
      <c r="Q510" s="2"/>
      <c r="R510"/>
      <c r="S510" s="2"/>
      <c r="U510" s="10"/>
      <c r="Y510"/>
      <c r="Z510"/>
      <c r="AA510"/>
      <c r="AB510"/>
      <c r="AC510"/>
      <c r="AD510"/>
      <c r="AE510"/>
      <c r="AF510"/>
    </row>
    <row r="511" spans="2:32" s="4" customFormat="1" ht="24" hidden="1" customHeight="1" outlineLevel="1" thickBot="1">
      <c r="B511" s="773"/>
      <c r="C511" s="774"/>
      <c r="D511" s="774"/>
      <c r="E511" s="774"/>
      <c r="F511" s="775"/>
      <c r="G511" s="460" t="s">
        <v>2237</v>
      </c>
      <c r="H511" s="513" t="s">
        <v>2124</v>
      </c>
      <c r="I511" s="776"/>
      <c r="J511" s="169" t="s">
        <v>1454</v>
      </c>
      <c r="K511" s="456">
        <v>4</v>
      </c>
      <c r="L511" s="548">
        <f>(E$506*E$508*M511)/1000000</f>
        <v>8.8000000000000005E-3</v>
      </c>
      <c r="M511" s="356">
        <v>16</v>
      </c>
      <c r="N511"/>
      <c r="O511" s="2"/>
      <c r="P511"/>
      <c r="Q511" s="2"/>
      <c r="R511"/>
      <c r="S511" s="2"/>
      <c r="U511" s="10"/>
      <c r="Y511"/>
      <c r="Z511"/>
      <c r="AA511"/>
      <c r="AB511"/>
      <c r="AC511"/>
      <c r="AD511"/>
      <c r="AE511"/>
      <c r="AF511"/>
    </row>
    <row r="512" spans="2:32" s="4" customFormat="1" ht="24" customHeight="1" collapsed="1">
      <c r="B512" s="739" t="str">
        <f>Languages!$C$254</f>
        <v>Canal</v>
      </c>
      <c r="C512" s="740"/>
      <c r="D512" s="553" t="s">
        <v>2178</v>
      </c>
      <c r="E512" s="817">
        <v>5</v>
      </c>
      <c r="F512" s="818"/>
      <c r="G512" s="711" t="str">
        <f>G$11</f>
        <v>Asset / Component</v>
      </c>
      <c r="H512" s="734" t="s">
        <v>2123</v>
      </c>
      <c r="I512" s="545" t="s">
        <v>2103</v>
      </c>
      <c r="J512" s="711" t="s">
        <v>2212</v>
      </c>
      <c r="K512" s="807">
        <f>SUM(K515:K517)/3</f>
        <v>4</v>
      </c>
      <c r="L512" s="546" t="s">
        <v>2214</v>
      </c>
      <c r="M512" s="757"/>
      <c r="N512"/>
      <c r="P512"/>
      <c r="R512"/>
      <c r="S512" s="2"/>
      <c r="U512" s="10"/>
      <c r="Y512"/>
      <c r="Z512"/>
      <c r="AA512"/>
      <c r="AB512"/>
      <c r="AC512"/>
      <c r="AD512"/>
      <c r="AE512"/>
      <c r="AF512"/>
    </row>
    <row r="513" spans="2:32" s="4" customFormat="1" ht="24" customHeight="1" thickBot="1">
      <c r="B513" s="741"/>
      <c r="C513" s="742"/>
      <c r="D513" s="569" t="s">
        <v>1563</v>
      </c>
      <c r="E513" s="759">
        <f>E512*E514</f>
        <v>1100</v>
      </c>
      <c r="F513" s="760"/>
      <c r="G513" s="806"/>
      <c r="H513" s="914"/>
      <c r="I513" s="567" t="s">
        <v>2120</v>
      </c>
      <c r="J513" s="806"/>
      <c r="K513" s="808"/>
      <c r="L513" s="570">
        <f>SUM(M515:M517)</f>
        <v>38</v>
      </c>
      <c r="M513" s="758"/>
      <c r="N513"/>
      <c r="P513"/>
      <c r="R513"/>
      <c r="S513" s="2"/>
      <c r="U513" s="10"/>
      <c r="Y513"/>
      <c r="Z513"/>
      <c r="AA513"/>
      <c r="AB513"/>
      <c r="AC513"/>
      <c r="AD513"/>
      <c r="AE513"/>
      <c r="AF513"/>
    </row>
    <row r="514" spans="2:32" s="4" customFormat="1" ht="24" hidden="1" customHeight="1" outlineLevel="1">
      <c r="B514" s="743"/>
      <c r="C514" s="744"/>
      <c r="D514" s="554" t="s">
        <v>1562</v>
      </c>
      <c r="E514" s="557">
        <v>220</v>
      </c>
      <c r="F514" s="339" t="s">
        <v>1564</v>
      </c>
      <c r="G514" s="461" t="s">
        <v>2130</v>
      </c>
      <c r="H514" s="523" t="s">
        <v>2250</v>
      </c>
      <c r="I514" s="324"/>
      <c r="J514" s="523" t="s">
        <v>28</v>
      </c>
      <c r="K514" s="524" t="str">
        <f>Languages!$G$193</f>
        <v>Priority 
1 - 5</v>
      </c>
      <c r="L514" s="761"/>
      <c r="M514" s="762"/>
      <c r="N514"/>
      <c r="P514"/>
      <c r="R514"/>
      <c r="S514" s="2"/>
      <c r="U514" s="10"/>
      <c r="Y514"/>
      <c r="Z514"/>
      <c r="AA514"/>
      <c r="AB514"/>
      <c r="AC514"/>
      <c r="AD514"/>
      <c r="AE514"/>
      <c r="AF514"/>
    </row>
    <row r="515" spans="2:32" s="4" customFormat="1" ht="24" hidden="1" customHeight="1" outlineLevel="1">
      <c r="B515" s="814"/>
      <c r="C515" s="815"/>
      <c r="D515" s="815"/>
      <c r="E515" s="815"/>
      <c r="F515" s="816"/>
      <c r="G515" s="238" t="s">
        <v>1946</v>
      </c>
      <c r="H515" s="333" t="s">
        <v>2124</v>
      </c>
      <c r="I515" s="776" t="s">
        <v>2141</v>
      </c>
      <c r="J515" s="169" t="s">
        <v>1449</v>
      </c>
      <c r="K515" s="167">
        <v>4</v>
      </c>
      <c r="L515" s="453">
        <f>(E$512*E$514*M515)/1000000</f>
        <v>1.7600000000000001E-2</v>
      </c>
      <c r="M515" s="345">
        <v>16</v>
      </c>
      <c r="N515"/>
      <c r="P515"/>
      <c r="R515"/>
      <c r="S515" s="2"/>
      <c r="U515" s="10"/>
      <c r="Y515"/>
      <c r="Z515"/>
      <c r="AA515"/>
      <c r="AB515"/>
      <c r="AC515"/>
      <c r="AD515"/>
      <c r="AE515"/>
      <c r="AF515"/>
    </row>
    <row r="516" spans="2:32" s="4" customFormat="1" ht="24" hidden="1" customHeight="1" outlineLevel="1">
      <c r="B516" s="773"/>
      <c r="C516" s="774"/>
      <c r="D516" s="774"/>
      <c r="E516" s="774"/>
      <c r="F516" s="775"/>
      <c r="G516" s="238" t="s">
        <v>1947</v>
      </c>
      <c r="H516" s="333" t="s">
        <v>2124</v>
      </c>
      <c r="I516" s="776"/>
      <c r="J516" s="169" t="s">
        <v>1449</v>
      </c>
      <c r="K516" s="167">
        <v>4</v>
      </c>
      <c r="L516" s="453">
        <f>(E$512*E$514*M516)/1000000</f>
        <v>6.6E-3</v>
      </c>
      <c r="M516" s="345">
        <v>6</v>
      </c>
      <c r="N516"/>
      <c r="P516"/>
      <c r="R516"/>
      <c r="S516" s="2"/>
      <c r="U516" s="10"/>
      <c r="Y516"/>
      <c r="Z516"/>
      <c r="AA516"/>
      <c r="AB516"/>
      <c r="AC516"/>
      <c r="AD516"/>
      <c r="AE516"/>
      <c r="AF516"/>
    </row>
    <row r="517" spans="2:32" s="4" customFormat="1" ht="24" hidden="1" customHeight="1" outlineLevel="1" thickBot="1">
      <c r="B517" s="773"/>
      <c r="C517" s="774"/>
      <c r="D517" s="774"/>
      <c r="E517" s="774"/>
      <c r="F517" s="775"/>
      <c r="G517" s="458" t="s">
        <v>2036</v>
      </c>
      <c r="H517" s="513" t="s">
        <v>2124</v>
      </c>
      <c r="I517" s="776"/>
      <c r="J517" s="169" t="s">
        <v>1449</v>
      </c>
      <c r="K517" s="456">
        <v>4</v>
      </c>
      <c r="L517" s="548">
        <f>(E$512*E$514*M517)/1000000</f>
        <v>1.7600000000000001E-2</v>
      </c>
      <c r="M517" s="356">
        <v>16</v>
      </c>
      <c r="N517"/>
      <c r="P517"/>
      <c r="R517"/>
      <c r="S517" s="2"/>
      <c r="U517" s="10"/>
      <c r="Y517"/>
      <c r="Z517"/>
      <c r="AA517"/>
      <c r="AB517"/>
      <c r="AC517"/>
      <c r="AD517"/>
      <c r="AE517"/>
      <c r="AF517"/>
    </row>
    <row r="518" spans="2:32" s="4" customFormat="1" ht="24" customHeight="1" collapsed="1">
      <c r="B518" s="739"/>
      <c r="C518" s="740"/>
      <c r="D518" s="553" t="s">
        <v>2178</v>
      </c>
      <c r="E518" s="817">
        <v>5</v>
      </c>
      <c r="F518" s="818"/>
      <c r="G518" s="711" t="str">
        <f>G$11</f>
        <v>Asset / Component</v>
      </c>
      <c r="H518" s="734" t="s">
        <v>2123</v>
      </c>
      <c r="I518" s="545" t="s">
        <v>2103</v>
      </c>
      <c r="J518" s="711" t="s">
        <v>2212</v>
      </c>
      <c r="K518" s="807">
        <f>SUM(K521:K523)/3</f>
        <v>4</v>
      </c>
      <c r="L518" s="546" t="s">
        <v>2214</v>
      </c>
      <c r="M518" s="757"/>
      <c r="N518"/>
      <c r="P518"/>
      <c r="R518"/>
      <c r="S518" s="2"/>
      <c r="U518" s="10"/>
      <c r="Y518"/>
      <c r="Z518"/>
      <c r="AA518"/>
      <c r="AB518"/>
      <c r="AC518"/>
      <c r="AD518"/>
      <c r="AE518"/>
      <c r="AF518"/>
    </row>
    <row r="519" spans="2:32" s="4" customFormat="1" ht="24" customHeight="1" thickBot="1">
      <c r="B519" s="741"/>
      <c r="C519" s="742"/>
      <c r="D519" s="569" t="s">
        <v>1563</v>
      </c>
      <c r="E519" s="759">
        <f>E518*E520</f>
        <v>1100</v>
      </c>
      <c r="F519" s="760"/>
      <c r="G519" s="806"/>
      <c r="H519" s="914"/>
      <c r="I519" s="567" t="s">
        <v>2120</v>
      </c>
      <c r="J519" s="806"/>
      <c r="K519" s="808"/>
      <c r="L519" s="570">
        <f>SUM(M521:M523)</f>
        <v>38</v>
      </c>
      <c r="M519" s="758"/>
      <c r="N519"/>
      <c r="P519"/>
      <c r="R519"/>
      <c r="S519" s="2"/>
      <c r="U519" s="10"/>
      <c r="Y519"/>
      <c r="Z519"/>
      <c r="AA519"/>
      <c r="AB519"/>
      <c r="AC519"/>
      <c r="AD519"/>
      <c r="AE519"/>
      <c r="AF519"/>
    </row>
    <row r="520" spans="2:32" s="4" customFormat="1" ht="24" hidden="1" customHeight="1" outlineLevel="1">
      <c r="B520" s="743"/>
      <c r="C520" s="744"/>
      <c r="D520" s="554" t="s">
        <v>1562</v>
      </c>
      <c r="E520" s="557">
        <v>220</v>
      </c>
      <c r="F520" s="339" t="s">
        <v>1564</v>
      </c>
      <c r="G520" s="461" t="s">
        <v>2130</v>
      </c>
      <c r="H520" s="523" t="s">
        <v>2250</v>
      </c>
      <c r="I520" s="324"/>
      <c r="J520" s="523" t="s">
        <v>28</v>
      </c>
      <c r="K520" s="524" t="str">
        <f>Languages!$G$193</f>
        <v>Priority 
1 - 5</v>
      </c>
      <c r="L520" s="761"/>
      <c r="M520" s="762"/>
      <c r="N520"/>
      <c r="P520"/>
      <c r="R520"/>
      <c r="S520" s="2"/>
      <c r="U520" s="10"/>
      <c r="Y520"/>
      <c r="Z520"/>
      <c r="AA520"/>
      <c r="AB520"/>
      <c r="AC520"/>
      <c r="AD520"/>
      <c r="AE520"/>
      <c r="AF520"/>
    </row>
    <row r="521" spans="2:32" s="4" customFormat="1" ht="24" hidden="1" customHeight="1" outlineLevel="1">
      <c r="B521" s="814"/>
      <c r="C521" s="815"/>
      <c r="D521" s="815"/>
      <c r="E521" s="815"/>
      <c r="F521" s="816"/>
      <c r="G521" s="238" t="s">
        <v>1946</v>
      </c>
      <c r="H521" s="333" t="s">
        <v>2124</v>
      </c>
      <c r="I521" s="776" t="s">
        <v>2141</v>
      </c>
      <c r="J521" s="169" t="s">
        <v>1449</v>
      </c>
      <c r="K521" s="167">
        <v>4</v>
      </c>
      <c r="L521" s="453">
        <f>(E$518*E$520*M521)/1000000</f>
        <v>1.7600000000000001E-2</v>
      </c>
      <c r="M521" s="345">
        <v>16</v>
      </c>
      <c r="N521"/>
      <c r="P521"/>
      <c r="R521"/>
      <c r="S521" s="2"/>
      <c r="U521" s="10"/>
      <c r="Y521"/>
      <c r="Z521"/>
      <c r="AA521"/>
      <c r="AB521"/>
      <c r="AC521"/>
      <c r="AD521"/>
      <c r="AE521"/>
      <c r="AF521"/>
    </row>
    <row r="522" spans="2:32" s="4" customFormat="1" ht="24" hidden="1" customHeight="1" outlineLevel="1">
      <c r="B522" s="773"/>
      <c r="C522" s="774"/>
      <c r="D522" s="774"/>
      <c r="E522" s="774"/>
      <c r="F522" s="775"/>
      <c r="G522" s="238" t="s">
        <v>1947</v>
      </c>
      <c r="H522" s="333" t="s">
        <v>2124</v>
      </c>
      <c r="I522" s="776"/>
      <c r="J522" s="169" t="s">
        <v>1449</v>
      </c>
      <c r="K522" s="167">
        <v>4</v>
      </c>
      <c r="L522" s="453">
        <f>(E$518*E$520*M522)/1000000</f>
        <v>6.6E-3</v>
      </c>
      <c r="M522" s="345">
        <v>6</v>
      </c>
      <c r="N522"/>
      <c r="P522"/>
      <c r="R522"/>
      <c r="S522" s="2"/>
      <c r="U522" s="10"/>
      <c r="Y522"/>
      <c r="Z522"/>
      <c r="AA522"/>
      <c r="AB522"/>
      <c r="AC522"/>
      <c r="AD522"/>
      <c r="AE522"/>
      <c r="AF522"/>
    </row>
    <row r="523" spans="2:32" s="4" customFormat="1" ht="24" hidden="1" customHeight="1" outlineLevel="1" thickBot="1">
      <c r="B523" s="773"/>
      <c r="C523" s="774"/>
      <c r="D523" s="774"/>
      <c r="E523" s="774"/>
      <c r="F523" s="775"/>
      <c r="G523" s="238" t="s">
        <v>2036</v>
      </c>
      <c r="H523" s="333" t="s">
        <v>2124</v>
      </c>
      <c r="I523" s="777"/>
      <c r="J523" s="169" t="s">
        <v>1449</v>
      </c>
      <c r="K523" s="168">
        <v>4</v>
      </c>
      <c r="L523" s="453">
        <f>(E$518*E$520*M523)/1000000</f>
        <v>1.7600000000000001E-2</v>
      </c>
      <c r="M523" s="345">
        <v>16</v>
      </c>
      <c r="N523"/>
      <c r="P523"/>
      <c r="R523"/>
      <c r="S523" s="2"/>
      <c r="U523" s="10"/>
      <c r="Y523"/>
      <c r="Z523"/>
      <c r="AA523"/>
      <c r="AB523"/>
      <c r="AC523"/>
      <c r="AD523"/>
      <c r="AE523"/>
      <c r="AF523"/>
    </row>
    <row r="524" spans="2:32" ht="15" customHeight="1" collapsed="1">
      <c r="B524" s="163" t="s">
        <v>46</v>
      </c>
      <c r="C524" s="163"/>
      <c r="D524" s="163"/>
      <c r="E524" s="163"/>
      <c r="F524" s="163"/>
      <c r="G524" s="165"/>
      <c r="H524" s="12"/>
      <c r="I524" s="12"/>
      <c r="J524" s="12"/>
      <c r="K524" s="12"/>
      <c r="L524" s="366"/>
      <c r="M524" s="366"/>
      <c r="O524"/>
      <c r="P524"/>
      <c r="Q524" s="2"/>
      <c r="R524"/>
      <c r="S524" s="2"/>
      <c r="U524" s="10"/>
      <c r="V524" s="4"/>
      <c r="W524" s="4"/>
      <c r="X524" s="4"/>
    </row>
    <row r="525" spans="2:32" s="14" customFormat="1" ht="36" customHeight="1">
      <c r="C525" s="161"/>
      <c r="D525" s="161"/>
      <c r="E525" s="161"/>
      <c r="F525" s="161"/>
      <c r="G525" s="161"/>
      <c r="H525" s="155"/>
      <c r="I525" s="28"/>
      <c r="K525" s="139"/>
      <c r="L525" s="4"/>
      <c r="N525" s="154"/>
      <c r="O525"/>
      <c r="P525"/>
      <c r="Q525"/>
    </row>
    <row r="551" spans="5:9" ht="32" customHeight="1"/>
    <row r="552" spans="5:9">
      <c r="E552"/>
      <c r="F552"/>
      <c r="G552" s="5"/>
      <c r="H552"/>
      <c r="I552"/>
    </row>
    <row r="553" spans="5:9">
      <c r="E553"/>
      <c r="F553"/>
      <c r="G553" s="5"/>
      <c r="H553"/>
      <c r="I553"/>
    </row>
  </sheetData>
  <mergeCells count="930">
    <mergeCell ref="H100:H101"/>
    <mergeCell ref="H123:H124"/>
    <mergeCell ref="H146:H147"/>
    <mergeCell ref="H155:H156"/>
    <mergeCell ref="H170:H171"/>
    <mergeCell ref="H179:H180"/>
    <mergeCell ref="H194:H195"/>
    <mergeCell ref="H203:H204"/>
    <mergeCell ref="H240:H241"/>
    <mergeCell ref="H264:H265"/>
    <mergeCell ref="H288:H289"/>
    <mergeCell ref="H312:H313"/>
    <mergeCell ref="H336:H337"/>
    <mergeCell ref="H360:H361"/>
    <mergeCell ref="H384:H385"/>
    <mergeCell ref="H408:H409"/>
    <mergeCell ref="H218:H219"/>
    <mergeCell ref="H227:H228"/>
    <mergeCell ref="H242:H243"/>
    <mergeCell ref="H251:H252"/>
    <mergeCell ref="H266:H267"/>
    <mergeCell ref="H275:H276"/>
    <mergeCell ref="H290:H291"/>
    <mergeCell ref="H299:H300"/>
    <mergeCell ref="H314:H315"/>
    <mergeCell ref="H323:H324"/>
    <mergeCell ref="H338:H339"/>
    <mergeCell ref="H347:H348"/>
    <mergeCell ref="H362:H363"/>
    <mergeCell ref="H371:H372"/>
    <mergeCell ref="H386:H387"/>
    <mergeCell ref="I521:I523"/>
    <mergeCell ref="B446:F448"/>
    <mergeCell ref="B461:F463"/>
    <mergeCell ref="B470:F472"/>
    <mergeCell ref="B485:F487"/>
    <mergeCell ref="G491:G492"/>
    <mergeCell ref="G506:G507"/>
    <mergeCell ref="G518:G519"/>
    <mergeCell ref="E454:F455"/>
    <mergeCell ref="G504:G505"/>
    <mergeCell ref="F456:F457"/>
    <mergeCell ref="G456:G457"/>
    <mergeCell ref="E458:F458"/>
    <mergeCell ref="H456:H457"/>
    <mergeCell ref="H480:H481"/>
    <mergeCell ref="H504:H505"/>
    <mergeCell ref="H458:H459"/>
    <mergeCell ref="H467:H468"/>
    <mergeCell ref="H482:H483"/>
    <mergeCell ref="H491:H492"/>
    <mergeCell ref="H506:H507"/>
    <mergeCell ref="H512:H513"/>
    <mergeCell ref="H518:H519"/>
    <mergeCell ref="I454:I455"/>
    <mergeCell ref="I502:I503"/>
    <mergeCell ref="B501:H501"/>
    <mergeCell ref="I501:K501"/>
    <mergeCell ref="J384:K384"/>
    <mergeCell ref="B454:C457"/>
    <mergeCell ref="D454:D457"/>
    <mergeCell ref="H432:H433"/>
    <mergeCell ref="H395:H396"/>
    <mergeCell ref="H410:H411"/>
    <mergeCell ref="H419:H420"/>
    <mergeCell ref="H434:H435"/>
    <mergeCell ref="H443:H444"/>
    <mergeCell ref="I453:K453"/>
    <mergeCell ref="K434:K435"/>
    <mergeCell ref="E435:F435"/>
    <mergeCell ref="B317:F319"/>
    <mergeCell ref="B326:F328"/>
    <mergeCell ref="B341:F343"/>
    <mergeCell ref="B389:F391"/>
    <mergeCell ref="B398:F400"/>
    <mergeCell ref="B406:C409"/>
    <mergeCell ref="D406:D409"/>
    <mergeCell ref="E406:F407"/>
    <mergeCell ref="E408:E409"/>
    <mergeCell ref="F408:F409"/>
    <mergeCell ref="I381:K381"/>
    <mergeCell ref="K371:K372"/>
    <mergeCell ref="B451:F451"/>
    <mergeCell ref="B413:F415"/>
    <mergeCell ref="E338:F338"/>
    <mergeCell ref="G371:G372"/>
    <mergeCell ref="G395:G396"/>
    <mergeCell ref="G410:G411"/>
    <mergeCell ref="G408:G409"/>
    <mergeCell ref="B245:F247"/>
    <mergeCell ref="B254:F256"/>
    <mergeCell ref="B269:F271"/>
    <mergeCell ref="B297:F297"/>
    <mergeCell ref="B298:F298"/>
    <mergeCell ref="I310:I311"/>
    <mergeCell ref="I358:I359"/>
    <mergeCell ref="I382:I383"/>
    <mergeCell ref="I406:I407"/>
    <mergeCell ref="I405:K405"/>
    <mergeCell ref="J310:K310"/>
    <mergeCell ref="J311:K311"/>
    <mergeCell ref="G251:G252"/>
    <mergeCell ref="G266:G267"/>
    <mergeCell ref="G275:G276"/>
    <mergeCell ref="G290:G291"/>
    <mergeCell ref="G299:G300"/>
    <mergeCell ref="G314:G315"/>
    <mergeCell ref="B422:F424"/>
    <mergeCell ref="B437:F439"/>
    <mergeCell ref="E228:F228"/>
    <mergeCell ref="E275:F275"/>
    <mergeCell ref="B2:H2"/>
    <mergeCell ref="I2:K2"/>
    <mergeCell ref="B213:H213"/>
    <mergeCell ref="B278:F280"/>
    <mergeCell ref="B293:F295"/>
    <mergeCell ref="B302:F304"/>
    <mergeCell ref="B405:H405"/>
    <mergeCell ref="G323:G324"/>
    <mergeCell ref="G338:G339"/>
    <mergeCell ref="B237:H237"/>
    <mergeCell ref="B309:H309"/>
    <mergeCell ref="J79:J80"/>
    <mergeCell ref="K79:K80"/>
    <mergeCell ref="G142:H143"/>
    <mergeCell ref="G190:H191"/>
    <mergeCell ref="G214:H215"/>
    <mergeCell ref="G238:H239"/>
    <mergeCell ref="G310:H311"/>
    <mergeCell ref="G358:H359"/>
    <mergeCell ref="I127:I139"/>
    <mergeCell ref="O2:O4"/>
    <mergeCell ref="G312:G313"/>
    <mergeCell ref="G216:G217"/>
    <mergeCell ref="I213:K213"/>
    <mergeCell ref="G100:G101"/>
    <mergeCell ref="G123:G124"/>
    <mergeCell ref="B74:H74"/>
    <mergeCell ref="I74:K74"/>
    <mergeCell ref="G75:H76"/>
    <mergeCell ref="I75:I76"/>
    <mergeCell ref="B8:H8"/>
    <mergeCell ref="I8:K8"/>
    <mergeCell ref="B50:H50"/>
    <mergeCell ref="I50:K50"/>
    <mergeCell ref="I104:I116"/>
    <mergeCell ref="I83:I93"/>
    <mergeCell ref="G79:G80"/>
    <mergeCell ref="B95:H95"/>
    <mergeCell ref="B127:F133"/>
    <mergeCell ref="B126:F126"/>
    <mergeCell ref="K123:K124"/>
    <mergeCell ref="I95:K95"/>
    <mergeCell ref="B118:H118"/>
    <mergeCell ref="I118:K118"/>
    <mergeCell ref="J3:K3"/>
    <mergeCell ref="J4:K4"/>
    <mergeCell ref="J51:K51"/>
    <mergeCell ref="J52:K52"/>
    <mergeCell ref="J76:K76"/>
    <mergeCell ref="J75:K75"/>
    <mergeCell ref="B9:C12"/>
    <mergeCell ref="D9:D12"/>
    <mergeCell ref="E9:F10"/>
    <mergeCell ref="E11:E12"/>
    <mergeCell ref="F11:F12"/>
    <mergeCell ref="G11:G12"/>
    <mergeCell ref="B75:C78"/>
    <mergeCell ref="D75:D78"/>
    <mergeCell ref="E75:F76"/>
    <mergeCell ref="E14:F14"/>
    <mergeCell ref="E23:F23"/>
    <mergeCell ref="E77:E78"/>
    <mergeCell ref="F77:F78"/>
    <mergeCell ref="H77:H78"/>
    <mergeCell ref="I6:M6"/>
    <mergeCell ref="C6:H6"/>
    <mergeCell ref="L460:M460"/>
    <mergeCell ref="G458:G459"/>
    <mergeCell ref="G467:G468"/>
    <mergeCell ref="M419:M420"/>
    <mergeCell ref="E420:F420"/>
    <mergeCell ref="E456:E457"/>
    <mergeCell ref="J456:K456"/>
    <mergeCell ref="B51:C54"/>
    <mergeCell ref="D51:D54"/>
    <mergeCell ref="J382:K382"/>
    <mergeCell ref="K362:K363"/>
    <mergeCell ref="J358:K358"/>
    <mergeCell ref="J359:K359"/>
    <mergeCell ref="E360:E361"/>
    <mergeCell ref="F360:F361"/>
    <mergeCell ref="J360:K360"/>
    <mergeCell ref="E362:F362"/>
    <mergeCell ref="B382:C385"/>
    <mergeCell ref="D382:D385"/>
    <mergeCell ref="E382:F383"/>
    <mergeCell ref="E384:E385"/>
    <mergeCell ref="F384:F385"/>
    <mergeCell ref="G360:G361"/>
    <mergeCell ref="G406:H407"/>
    <mergeCell ref="M467:M468"/>
    <mergeCell ref="E468:F468"/>
    <mergeCell ref="M179:M180"/>
    <mergeCell ref="E180:F180"/>
    <mergeCell ref="L181:M181"/>
    <mergeCell ref="L469:M469"/>
    <mergeCell ref="E467:F467"/>
    <mergeCell ref="J467:J468"/>
    <mergeCell ref="J458:J459"/>
    <mergeCell ref="K458:K459"/>
    <mergeCell ref="J383:K383"/>
    <mergeCell ref="G384:G385"/>
    <mergeCell ref="E194:F194"/>
    <mergeCell ref="J194:J195"/>
    <mergeCell ref="K194:K195"/>
    <mergeCell ref="M194:M195"/>
    <mergeCell ref="E195:F195"/>
    <mergeCell ref="L196:M196"/>
    <mergeCell ref="J406:K406"/>
    <mergeCell ref="J407:K407"/>
    <mergeCell ref="J454:K454"/>
    <mergeCell ref="J455:K455"/>
    <mergeCell ref="J443:J444"/>
    <mergeCell ref="K443:K444"/>
    <mergeCell ref="J518:J519"/>
    <mergeCell ref="K518:K519"/>
    <mergeCell ref="M518:M519"/>
    <mergeCell ref="E519:F519"/>
    <mergeCell ref="J482:J483"/>
    <mergeCell ref="K482:K483"/>
    <mergeCell ref="M482:M483"/>
    <mergeCell ref="E483:F483"/>
    <mergeCell ref="L484:M484"/>
    <mergeCell ref="J504:K504"/>
    <mergeCell ref="G482:G483"/>
    <mergeCell ref="E482:F482"/>
    <mergeCell ref="I509:I511"/>
    <mergeCell ref="K506:K507"/>
    <mergeCell ref="M506:M507"/>
    <mergeCell ref="L508:M508"/>
    <mergeCell ref="J506:J507"/>
    <mergeCell ref="E506:F506"/>
    <mergeCell ref="B490:F490"/>
    <mergeCell ref="I515:I517"/>
    <mergeCell ref="G512:G513"/>
    <mergeCell ref="J512:J513"/>
    <mergeCell ref="K512:K513"/>
    <mergeCell ref="G502:H503"/>
    <mergeCell ref="L388:M388"/>
    <mergeCell ref="E410:F410"/>
    <mergeCell ref="E395:F395"/>
    <mergeCell ref="G386:G387"/>
    <mergeCell ref="B403:F403"/>
    <mergeCell ref="M458:M459"/>
    <mergeCell ref="E459:F459"/>
    <mergeCell ref="L445:M445"/>
    <mergeCell ref="J408:K408"/>
    <mergeCell ref="L408:M408"/>
    <mergeCell ref="E419:F419"/>
    <mergeCell ref="J419:J420"/>
    <mergeCell ref="K419:K420"/>
    <mergeCell ref="L421:M421"/>
    <mergeCell ref="M443:M444"/>
    <mergeCell ref="M434:M435"/>
    <mergeCell ref="L436:M436"/>
    <mergeCell ref="E443:F443"/>
    <mergeCell ref="J434:J435"/>
    <mergeCell ref="E434:F434"/>
    <mergeCell ref="L432:M432"/>
    <mergeCell ref="L456:M456"/>
    <mergeCell ref="E444:F444"/>
    <mergeCell ref="G419:G420"/>
    <mergeCell ref="J290:J291"/>
    <mergeCell ref="J299:J300"/>
    <mergeCell ref="K299:K300"/>
    <mergeCell ref="M299:M300"/>
    <mergeCell ref="E300:F300"/>
    <mergeCell ref="E299:F299"/>
    <mergeCell ref="M362:M363"/>
    <mergeCell ref="E363:F363"/>
    <mergeCell ref="L364:M364"/>
    <mergeCell ref="J362:J363"/>
    <mergeCell ref="G347:G348"/>
    <mergeCell ref="G362:G363"/>
    <mergeCell ref="J338:J339"/>
    <mergeCell ref="K338:K339"/>
    <mergeCell ref="M338:M339"/>
    <mergeCell ref="L340:M340"/>
    <mergeCell ref="I341:I346"/>
    <mergeCell ref="I326:I331"/>
    <mergeCell ref="B344:F344"/>
    <mergeCell ref="B345:F345"/>
    <mergeCell ref="B346:F346"/>
    <mergeCell ref="B358:C361"/>
    <mergeCell ref="D358:D361"/>
    <mergeCell ref="E358:F359"/>
    <mergeCell ref="B190:C193"/>
    <mergeCell ref="D190:D193"/>
    <mergeCell ref="M203:M204"/>
    <mergeCell ref="J214:K214"/>
    <mergeCell ref="J215:K215"/>
    <mergeCell ref="B103:F103"/>
    <mergeCell ref="J100:J101"/>
    <mergeCell ref="K100:K101"/>
    <mergeCell ref="B104:F106"/>
    <mergeCell ref="G119:H120"/>
    <mergeCell ref="B141:H141"/>
    <mergeCell ref="I141:K141"/>
    <mergeCell ref="E190:F191"/>
    <mergeCell ref="B197:F199"/>
    <mergeCell ref="I182:I187"/>
    <mergeCell ref="B189:H189"/>
    <mergeCell ref="I189:K189"/>
    <mergeCell ref="K203:K204"/>
    <mergeCell ref="E192:E193"/>
    <mergeCell ref="F192:F193"/>
    <mergeCell ref="J192:K192"/>
    <mergeCell ref="J190:K190"/>
    <mergeCell ref="E179:F179"/>
    <mergeCell ref="J179:J180"/>
    <mergeCell ref="E170:F170"/>
    <mergeCell ref="E101:F101"/>
    <mergeCell ref="G144:G145"/>
    <mergeCell ref="J144:K144"/>
    <mergeCell ref="L144:M144"/>
    <mergeCell ref="J98:K98"/>
    <mergeCell ref="L98:M98"/>
    <mergeCell ref="L220:M220"/>
    <mergeCell ref="J216:K216"/>
    <mergeCell ref="L216:M216"/>
    <mergeCell ref="E214:F215"/>
    <mergeCell ref="J191:K191"/>
    <mergeCell ref="L192:M192"/>
    <mergeCell ref="E204:F204"/>
    <mergeCell ref="E203:F203"/>
    <mergeCell ref="E218:F218"/>
    <mergeCell ref="E219:F219"/>
    <mergeCell ref="G194:G195"/>
    <mergeCell ref="G179:G180"/>
    <mergeCell ref="G203:G204"/>
    <mergeCell ref="H192:H193"/>
    <mergeCell ref="G155:G156"/>
    <mergeCell ref="G170:G171"/>
    <mergeCell ref="H216:H217"/>
    <mergeCell ref="B3:H4"/>
    <mergeCell ref="E156:F156"/>
    <mergeCell ref="L157:M157"/>
    <mergeCell ref="E155:F155"/>
    <mergeCell ref="J155:J156"/>
    <mergeCell ref="B142:C145"/>
    <mergeCell ref="D142:D145"/>
    <mergeCell ref="E142:F143"/>
    <mergeCell ref="M146:M147"/>
    <mergeCell ref="E147:F147"/>
    <mergeCell ref="L148:M148"/>
    <mergeCell ref="E146:F146"/>
    <mergeCell ref="E13:F13"/>
    <mergeCell ref="G77:G78"/>
    <mergeCell ref="J77:K77"/>
    <mergeCell ref="L77:M77"/>
    <mergeCell ref="E79:F79"/>
    <mergeCell ref="E80:F80"/>
    <mergeCell ref="E144:E145"/>
    <mergeCell ref="B83:F93"/>
    <mergeCell ref="B82:F82"/>
    <mergeCell ref="I96:I97"/>
    <mergeCell ref="I119:I120"/>
    <mergeCell ref="I142:I143"/>
    <mergeCell ref="G9:H10"/>
    <mergeCell ref="I9:I10"/>
    <mergeCell ref="E34:F34"/>
    <mergeCell ref="M34:M35"/>
    <mergeCell ref="E35:F35"/>
    <mergeCell ref="E19:F19"/>
    <mergeCell ref="E18:F18"/>
    <mergeCell ref="E24:F24"/>
    <mergeCell ref="J10:K10"/>
    <mergeCell ref="J9:K9"/>
    <mergeCell ref="E22:F22"/>
    <mergeCell ref="E27:F27"/>
    <mergeCell ref="E26:F26"/>
    <mergeCell ref="E16:F16"/>
    <mergeCell ref="E17:F17"/>
    <mergeCell ref="L32:M32"/>
    <mergeCell ref="M55:M56"/>
    <mergeCell ref="E56:F56"/>
    <mergeCell ref="B47:D48"/>
    <mergeCell ref="E47:F47"/>
    <mergeCell ref="E48:F48"/>
    <mergeCell ref="L53:M53"/>
    <mergeCell ref="E51:F52"/>
    <mergeCell ref="E53:E54"/>
    <mergeCell ref="F53:F54"/>
    <mergeCell ref="G53:G54"/>
    <mergeCell ref="J53:K53"/>
    <mergeCell ref="I51:I52"/>
    <mergeCell ref="G51:H52"/>
    <mergeCell ref="H53:H54"/>
    <mergeCell ref="G55:G56"/>
    <mergeCell ref="H55:H56"/>
    <mergeCell ref="J55:J56"/>
    <mergeCell ref="K55:K56"/>
    <mergeCell ref="B119:C122"/>
    <mergeCell ref="D119:D122"/>
    <mergeCell ref="E119:F120"/>
    <mergeCell ref="J119:K119"/>
    <mergeCell ref="J120:K120"/>
    <mergeCell ref="E121:E122"/>
    <mergeCell ref="F121:F122"/>
    <mergeCell ref="G121:G122"/>
    <mergeCell ref="E45:F45"/>
    <mergeCell ref="E55:F55"/>
    <mergeCell ref="H98:H99"/>
    <mergeCell ref="H121:H122"/>
    <mergeCell ref="J121:K121"/>
    <mergeCell ref="E100:F100"/>
    <mergeCell ref="E98:E99"/>
    <mergeCell ref="F98:F99"/>
    <mergeCell ref="G98:G99"/>
    <mergeCell ref="J96:K96"/>
    <mergeCell ref="B96:C99"/>
    <mergeCell ref="D96:D99"/>
    <mergeCell ref="B100:C101"/>
    <mergeCell ref="J97:K97"/>
    <mergeCell ref="G96:H97"/>
    <mergeCell ref="H79:H80"/>
    <mergeCell ref="L205:M205"/>
    <mergeCell ref="J203:J204"/>
    <mergeCell ref="L229:M229"/>
    <mergeCell ref="M61:M62"/>
    <mergeCell ref="E62:F62"/>
    <mergeCell ref="E67:F67"/>
    <mergeCell ref="M67:M68"/>
    <mergeCell ref="E68:F68"/>
    <mergeCell ref="E61:F61"/>
    <mergeCell ref="G192:G193"/>
    <mergeCell ref="L121:M121"/>
    <mergeCell ref="E123:F123"/>
    <mergeCell ref="E124:F124"/>
    <mergeCell ref="K146:K147"/>
    <mergeCell ref="G146:G147"/>
    <mergeCell ref="J146:J147"/>
    <mergeCell ref="B149:F152"/>
    <mergeCell ref="H144:H145"/>
    <mergeCell ref="E125:F125"/>
    <mergeCell ref="B123:C124"/>
    <mergeCell ref="F144:F145"/>
    <mergeCell ref="J170:J171"/>
    <mergeCell ref="K170:K171"/>
    <mergeCell ref="E171:F171"/>
    <mergeCell ref="L397:M397"/>
    <mergeCell ref="J395:J396"/>
    <mergeCell ref="K395:K396"/>
    <mergeCell ref="M395:M396"/>
    <mergeCell ref="E396:F396"/>
    <mergeCell ref="L277:M277"/>
    <mergeCell ref="J238:K238"/>
    <mergeCell ref="J239:K239"/>
    <mergeCell ref="L301:M301"/>
    <mergeCell ref="K290:K291"/>
    <mergeCell ref="M290:M291"/>
    <mergeCell ref="E291:F291"/>
    <mergeCell ref="L292:M292"/>
    <mergeCell ref="E290:F290"/>
    <mergeCell ref="J275:J276"/>
    <mergeCell ref="K275:K276"/>
    <mergeCell ref="J251:J252"/>
    <mergeCell ref="K251:K252"/>
    <mergeCell ref="M251:M252"/>
    <mergeCell ref="E252:F252"/>
    <mergeCell ref="L253:M253"/>
    <mergeCell ref="L268:M268"/>
    <mergeCell ref="J266:J267"/>
    <mergeCell ref="K266:K267"/>
    <mergeCell ref="L412:M412"/>
    <mergeCell ref="M386:M387"/>
    <mergeCell ref="E387:F387"/>
    <mergeCell ref="J410:J411"/>
    <mergeCell ref="K410:K411"/>
    <mergeCell ref="M410:M411"/>
    <mergeCell ref="E411:F411"/>
    <mergeCell ref="J386:J387"/>
    <mergeCell ref="L520:M520"/>
    <mergeCell ref="E507:F507"/>
    <mergeCell ref="L493:M493"/>
    <mergeCell ref="J491:J492"/>
    <mergeCell ref="K491:K492"/>
    <mergeCell ref="L504:M504"/>
    <mergeCell ref="E491:F491"/>
    <mergeCell ref="E502:F503"/>
    <mergeCell ref="E504:E505"/>
    <mergeCell ref="F504:F505"/>
    <mergeCell ref="M491:M492"/>
    <mergeCell ref="E492:F492"/>
    <mergeCell ref="J502:K502"/>
    <mergeCell ref="J503:K503"/>
    <mergeCell ref="B449:F449"/>
    <mergeCell ref="B450:F450"/>
    <mergeCell ref="L384:M384"/>
    <mergeCell ref="E386:F386"/>
    <mergeCell ref="L360:M360"/>
    <mergeCell ref="E347:F347"/>
    <mergeCell ref="J347:J348"/>
    <mergeCell ref="K347:K348"/>
    <mergeCell ref="M347:M348"/>
    <mergeCell ref="E348:F348"/>
    <mergeCell ref="L349:M349"/>
    <mergeCell ref="B370:F370"/>
    <mergeCell ref="B350:F352"/>
    <mergeCell ref="B353:F353"/>
    <mergeCell ref="B354:F354"/>
    <mergeCell ref="B355:F355"/>
    <mergeCell ref="I374:I379"/>
    <mergeCell ref="I365:I370"/>
    <mergeCell ref="M371:M372"/>
    <mergeCell ref="E372:F372"/>
    <mergeCell ref="L373:M373"/>
    <mergeCell ref="E371:F371"/>
    <mergeCell ref="J371:J372"/>
    <mergeCell ref="B381:H381"/>
    <mergeCell ref="G382:H383"/>
    <mergeCell ref="E66:F66"/>
    <mergeCell ref="E72:F72"/>
    <mergeCell ref="B42:D43"/>
    <mergeCell ref="B37:D38"/>
    <mergeCell ref="B26:D27"/>
    <mergeCell ref="B21:D22"/>
    <mergeCell ref="B16:D17"/>
    <mergeCell ref="B29:H29"/>
    <mergeCell ref="I29:K29"/>
    <mergeCell ref="B30:C33"/>
    <mergeCell ref="D30:D33"/>
    <mergeCell ref="E30:F31"/>
    <mergeCell ref="G30:H31"/>
    <mergeCell ref="I30:I31"/>
    <mergeCell ref="J30:K30"/>
    <mergeCell ref="J31:K31"/>
    <mergeCell ref="E32:E33"/>
    <mergeCell ref="F32:F33"/>
    <mergeCell ref="G32:G33"/>
    <mergeCell ref="J32:K32"/>
    <mergeCell ref="E21:F21"/>
    <mergeCell ref="I41:I43"/>
    <mergeCell ref="E44:F44"/>
    <mergeCell ref="E37:F37"/>
    <mergeCell ref="E38:F38"/>
    <mergeCell ref="E42:F42"/>
    <mergeCell ref="E43:F43"/>
    <mergeCell ref="E39:F39"/>
    <mergeCell ref="E40:F40"/>
    <mergeCell ref="L79:M80"/>
    <mergeCell ref="L100:M101"/>
    <mergeCell ref="J123:J124"/>
    <mergeCell ref="L123:M124"/>
    <mergeCell ref="E96:F97"/>
    <mergeCell ref="L36:M38"/>
    <mergeCell ref="L41:M43"/>
    <mergeCell ref="L46:M48"/>
    <mergeCell ref="M44:M45"/>
    <mergeCell ref="M39:M40"/>
    <mergeCell ref="E70:F70"/>
    <mergeCell ref="E71:F71"/>
    <mergeCell ref="G67:G68"/>
    <mergeCell ref="H67:H68"/>
    <mergeCell ref="J67:J68"/>
    <mergeCell ref="E59:F59"/>
    <mergeCell ref="E60:F60"/>
    <mergeCell ref="E65:F65"/>
    <mergeCell ref="J142:K142"/>
    <mergeCell ref="J143:K143"/>
    <mergeCell ref="K179:K180"/>
    <mergeCell ref="B235:F235"/>
    <mergeCell ref="B200:F200"/>
    <mergeCell ref="B201:F201"/>
    <mergeCell ref="I158:I163"/>
    <mergeCell ref="I149:I154"/>
    <mergeCell ref="B182:F187"/>
    <mergeCell ref="I197:I202"/>
    <mergeCell ref="B202:F202"/>
    <mergeCell ref="B158:F160"/>
    <mergeCell ref="I173:I178"/>
    <mergeCell ref="B165:H165"/>
    <mergeCell ref="I165:K165"/>
    <mergeCell ref="B166:C169"/>
    <mergeCell ref="E216:E217"/>
    <mergeCell ref="F216:F217"/>
    <mergeCell ref="J227:J228"/>
    <mergeCell ref="K227:K228"/>
    <mergeCell ref="J218:J219"/>
    <mergeCell ref="K218:K219"/>
    <mergeCell ref="B234:F234"/>
    <mergeCell ref="I230:I235"/>
    <mergeCell ref="B369:F369"/>
    <mergeCell ref="I206:I211"/>
    <mergeCell ref="M242:M243"/>
    <mergeCell ref="L244:M244"/>
    <mergeCell ref="E251:F251"/>
    <mergeCell ref="E266:F266"/>
    <mergeCell ref="M218:M219"/>
    <mergeCell ref="K155:K156"/>
    <mergeCell ref="M155:M156"/>
    <mergeCell ref="L325:M325"/>
    <mergeCell ref="E339:F339"/>
    <mergeCell ref="B329:F329"/>
    <mergeCell ref="B330:F330"/>
    <mergeCell ref="B331:F331"/>
    <mergeCell ref="L336:M336"/>
    <mergeCell ref="M266:M267"/>
    <mergeCell ref="E267:F267"/>
    <mergeCell ref="M275:M276"/>
    <mergeCell ref="E276:F276"/>
    <mergeCell ref="E238:F239"/>
    <mergeCell ref="J242:J243"/>
    <mergeCell ref="K242:K243"/>
    <mergeCell ref="E243:F243"/>
    <mergeCell ref="E242:F242"/>
    <mergeCell ref="E324:F324"/>
    <mergeCell ref="B310:C313"/>
    <mergeCell ref="D310:D313"/>
    <mergeCell ref="E310:F311"/>
    <mergeCell ref="E312:E313"/>
    <mergeCell ref="F312:F313"/>
    <mergeCell ref="E323:F323"/>
    <mergeCell ref="B365:F367"/>
    <mergeCell ref="B368:F368"/>
    <mergeCell ref="I277:I283"/>
    <mergeCell ref="I292:I298"/>
    <mergeCell ref="I302:I307"/>
    <mergeCell ref="I317:I322"/>
    <mergeCell ref="B320:F320"/>
    <mergeCell ref="B321:F321"/>
    <mergeCell ref="B322:F322"/>
    <mergeCell ref="B305:F305"/>
    <mergeCell ref="B306:F306"/>
    <mergeCell ref="B307:F307"/>
    <mergeCell ref="E314:F314"/>
    <mergeCell ref="E315:F315"/>
    <mergeCell ref="I269:I274"/>
    <mergeCell ref="I254:I259"/>
    <mergeCell ref="I245:I250"/>
    <mergeCell ref="B206:F208"/>
    <mergeCell ref="B221:F223"/>
    <mergeCell ref="B230:F232"/>
    <mergeCell ref="B209:F209"/>
    <mergeCell ref="B210:F210"/>
    <mergeCell ref="B211:F211"/>
    <mergeCell ref="B224:F224"/>
    <mergeCell ref="B225:F225"/>
    <mergeCell ref="B226:F226"/>
    <mergeCell ref="B233:F233"/>
    <mergeCell ref="B238:C241"/>
    <mergeCell ref="D238:D241"/>
    <mergeCell ref="E240:E241"/>
    <mergeCell ref="F240:F241"/>
    <mergeCell ref="G240:G241"/>
    <mergeCell ref="I237:K237"/>
    <mergeCell ref="I221:I226"/>
    <mergeCell ref="B214:C217"/>
    <mergeCell ref="D214:D217"/>
    <mergeCell ref="E227:F227"/>
    <mergeCell ref="G227:G228"/>
    <mergeCell ref="I309:K309"/>
    <mergeCell ref="B357:H357"/>
    <mergeCell ref="I357:K357"/>
    <mergeCell ref="I190:I191"/>
    <mergeCell ref="B473:F473"/>
    <mergeCell ref="B474:F474"/>
    <mergeCell ref="B475:F475"/>
    <mergeCell ref="B488:F488"/>
    <mergeCell ref="B489:F489"/>
    <mergeCell ref="B374:F376"/>
    <mergeCell ref="B377:F377"/>
    <mergeCell ref="B378:F378"/>
    <mergeCell ref="B379:F379"/>
    <mergeCell ref="B392:F392"/>
    <mergeCell ref="B393:F393"/>
    <mergeCell ref="B394:F394"/>
    <mergeCell ref="B401:F401"/>
    <mergeCell ref="B402:F402"/>
    <mergeCell ref="B416:F416"/>
    <mergeCell ref="B417:F417"/>
    <mergeCell ref="B418:F418"/>
    <mergeCell ref="B425:F425"/>
    <mergeCell ref="B426:F426"/>
    <mergeCell ref="B427:F427"/>
    <mergeCell ref="B509:F509"/>
    <mergeCell ref="B510:F510"/>
    <mergeCell ref="B511:F511"/>
    <mergeCell ref="B521:F521"/>
    <mergeCell ref="B522:F522"/>
    <mergeCell ref="B523:F523"/>
    <mergeCell ref="B478:C481"/>
    <mergeCell ref="D478:D481"/>
    <mergeCell ref="E478:F479"/>
    <mergeCell ref="B515:F515"/>
    <mergeCell ref="B516:F516"/>
    <mergeCell ref="B517:F517"/>
    <mergeCell ref="E512:F512"/>
    <mergeCell ref="B518:C519"/>
    <mergeCell ref="E518:F518"/>
    <mergeCell ref="B502:C505"/>
    <mergeCell ref="D502:D505"/>
    <mergeCell ref="B429:H429"/>
    <mergeCell ref="B430:C433"/>
    <mergeCell ref="D430:D433"/>
    <mergeCell ref="E430:F431"/>
    <mergeCell ref="G430:H431"/>
    <mergeCell ref="E432:E433"/>
    <mergeCell ref="F432:F433"/>
    <mergeCell ref="G432:G433"/>
    <mergeCell ref="B477:H477"/>
    <mergeCell ref="B440:F440"/>
    <mergeCell ref="B441:F441"/>
    <mergeCell ref="B442:F442"/>
    <mergeCell ref="B464:F464"/>
    <mergeCell ref="B465:F465"/>
    <mergeCell ref="G434:G435"/>
    <mergeCell ref="G443:G444"/>
    <mergeCell ref="G454:H455"/>
    <mergeCell ref="B453:H453"/>
    <mergeCell ref="G478:H479"/>
    <mergeCell ref="E480:E481"/>
    <mergeCell ref="F480:F481"/>
    <mergeCell ref="B466:F466"/>
    <mergeCell ref="I350:I355"/>
    <mergeCell ref="I413:I418"/>
    <mergeCell ref="I398:I403"/>
    <mergeCell ref="I389:I394"/>
    <mergeCell ref="I485:I490"/>
    <mergeCell ref="I470:I475"/>
    <mergeCell ref="I461:I466"/>
    <mergeCell ref="I446:I451"/>
    <mergeCell ref="I437:I442"/>
    <mergeCell ref="I422:I427"/>
    <mergeCell ref="I429:K429"/>
    <mergeCell ref="I430:I431"/>
    <mergeCell ref="J430:K430"/>
    <mergeCell ref="J431:K431"/>
    <mergeCell ref="J432:K432"/>
    <mergeCell ref="I477:K477"/>
    <mergeCell ref="I478:I479"/>
    <mergeCell ref="J478:K478"/>
    <mergeCell ref="J479:K479"/>
    <mergeCell ref="K386:K387"/>
    <mergeCell ref="K467:K468"/>
    <mergeCell ref="B153:F153"/>
    <mergeCell ref="B154:F154"/>
    <mergeCell ref="B161:F161"/>
    <mergeCell ref="B162:F162"/>
    <mergeCell ref="B163:F163"/>
    <mergeCell ref="B176:F176"/>
    <mergeCell ref="B177:F177"/>
    <mergeCell ref="B296:F296"/>
    <mergeCell ref="B281:F281"/>
    <mergeCell ref="B282:F282"/>
    <mergeCell ref="B283:F283"/>
    <mergeCell ref="B248:F248"/>
    <mergeCell ref="B249:F249"/>
    <mergeCell ref="B250:F250"/>
    <mergeCell ref="B257:F257"/>
    <mergeCell ref="B258:F258"/>
    <mergeCell ref="B259:F259"/>
    <mergeCell ref="B272:F272"/>
    <mergeCell ref="B273:F273"/>
    <mergeCell ref="B274:F274"/>
    <mergeCell ref="B285:H285"/>
    <mergeCell ref="G218:G219"/>
    <mergeCell ref="G242:G243"/>
    <mergeCell ref="D166:D169"/>
    <mergeCell ref="E166:F167"/>
    <mergeCell ref="G166:H167"/>
    <mergeCell ref="I166:I167"/>
    <mergeCell ref="J166:K166"/>
    <mergeCell ref="J167:K167"/>
    <mergeCell ref="E168:E169"/>
    <mergeCell ref="F168:F169"/>
    <mergeCell ref="G168:G169"/>
    <mergeCell ref="J168:K168"/>
    <mergeCell ref="H168:H169"/>
    <mergeCell ref="L168:M168"/>
    <mergeCell ref="B261:H261"/>
    <mergeCell ref="I261:K261"/>
    <mergeCell ref="B262:C265"/>
    <mergeCell ref="D262:D265"/>
    <mergeCell ref="E262:F263"/>
    <mergeCell ref="G262:H263"/>
    <mergeCell ref="I262:I263"/>
    <mergeCell ref="J262:K262"/>
    <mergeCell ref="J263:K263"/>
    <mergeCell ref="E264:E265"/>
    <mergeCell ref="F264:F265"/>
    <mergeCell ref="G264:G265"/>
    <mergeCell ref="J264:K264"/>
    <mergeCell ref="L264:M264"/>
    <mergeCell ref="B178:F178"/>
    <mergeCell ref="B173:F175"/>
    <mergeCell ref="M170:M171"/>
    <mergeCell ref="L172:M172"/>
    <mergeCell ref="M227:M228"/>
    <mergeCell ref="L240:M240"/>
    <mergeCell ref="J240:K240"/>
    <mergeCell ref="I214:I215"/>
    <mergeCell ref="I238:I239"/>
    <mergeCell ref="I285:K285"/>
    <mergeCell ref="B286:C289"/>
    <mergeCell ref="D286:D289"/>
    <mergeCell ref="E286:F287"/>
    <mergeCell ref="G286:H287"/>
    <mergeCell ref="I286:I287"/>
    <mergeCell ref="J286:K286"/>
    <mergeCell ref="J287:K287"/>
    <mergeCell ref="E288:E289"/>
    <mergeCell ref="F288:F289"/>
    <mergeCell ref="G288:G289"/>
    <mergeCell ref="J288:K288"/>
    <mergeCell ref="J314:J315"/>
    <mergeCell ref="K314:K315"/>
    <mergeCell ref="M314:M315"/>
    <mergeCell ref="L316:M316"/>
    <mergeCell ref="J323:J324"/>
    <mergeCell ref="K323:K324"/>
    <mergeCell ref="M323:M324"/>
    <mergeCell ref="J312:K312"/>
    <mergeCell ref="L312:M312"/>
    <mergeCell ref="E334:F335"/>
    <mergeCell ref="G334:H335"/>
    <mergeCell ref="I334:I335"/>
    <mergeCell ref="J334:K334"/>
    <mergeCell ref="J335:K335"/>
    <mergeCell ref="E336:E337"/>
    <mergeCell ref="F336:F337"/>
    <mergeCell ref="G336:G337"/>
    <mergeCell ref="J336:K336"/>
    <mergeCell ref="H11:H12"/>
    <mergeCell ref="G480:G481"/>
    <mergeCell ref="J480:K480"/>
    <mergeCell ref="L480:M480"/>
    <mergeCell ref="B498:F498"/>
    <mergeCell ref="B499:F499"/>
    <mergeCell ref="B497:F497"/>
    <mergeCell ref="I494:I499"/>
    <mergeCell ref="B494:F496"/>
    <mergeCell ref="B299:C300"/>
    <mergeCell ref="B290:C291"/>
    <mergeCell ref="B275:C276"/>
    <mergeCell ref="B266:C267"/>
    <mergeCell ref="B251:C252"/>
    <mergeCell ref="B242:C243"/>
    <mergeCell ref="B227:C228"/>
    <mergeCell ref="B218:C219"/>
    <mergeCell ref="B203:C204"/>
    <mergeCell ref="B194:C195"/>
    <mergeCell ref="B179:C180"/>
    <mergeCell ref="B170:C171"/>
    <mergeCell ref="B155:C156"/>
    <mergeCell ref="B146:C147"/>
    <mergeCell ref="I333:K333"/>
    <mergeCell ref="M512:M513"/>
    <mergeCell ref="E513:F513"/>
    <mergeCell ref="L514:M514"/>
    <mergeCell ref="L288:M288"/>
    <mergeCell ref="B333:H333"/>
    <mergeCell ref="B395:C396"/>
    <mergeCell ref="B386:C387"/>
    <mergeCell ref="B434:C435"/>
    <mergeCell ref="B419:C420"/>
    <mergeCell ref="B410:C411"/>
    <mergeCell ref="B506:C507"/>
    <mergeCell ref="B491:C492"/>
    <mergeCell ref="B482:C483"/>
    <mergeCell ref="B467:C468"/>
    <mergeCell ref="B458:C459"/>
    <mergeCell ref="B443:C444"/>
    <mergeCell ref="B512:C513"/>
    <mergeCell ref="B371:C372"/>
    <mergeCell ref="B362:C363"/>
    <mergeCell ref="B347:C348"/>
    <mergeCell ref="B338:C339"/>
    <mergeCell ref="B323:C324"/>
    <mergeCell ref="B314:C315"/>
    <mergeCell ref="B334:C337"/>
    <mergeCell ref="B520:C520"/>
    <mergeCell ref="B514:C514"/>
    <mergeCell ref="B508:C508"/>
    <mergeCell ref="B15:C15"/>
    <mergeCell ref="B20:C20"/>
    <mergeCell ref="B25:C25"/>
    <mergeCell ref="B36:C36"/>
    <mergeCell ref="B41:C41"/>
    <mergeCell ref="B46:C46"/>
    <mergeCell ref="B57:C57"/>
    <mergeCell ref="B63:C63"/>
    <mergeCell ref="B69:C69"/>
    <mergeCell ref="C81:D81"/>
    <mergeCell ref="C102:D102"/>
    <mergeCell ref="B79:C80"/>
    <mergeCell ref="B67:C68"/>
    <mergeCell ref="B61:C62"/>
    <mergeCell ref="B55:C56"/>
    <mergeCell ref="B44:C45"/>
    <mergeCell ref="B39:C40"/>
    <mergeCell ref="B34:C35"/>
    <mergeCell ref="B23:C24"/>
    <mergeCell ref="B18:C19"/>
    <mergeCell ref="D334:D337"/>
    <mergeCell ref="H36:H38"/>
    <mergeCell ref="I55:I56"/>
    <mergeCell ref="I67:I68"/>
    <mergeCell ref="M11:M12"/>
    <mergeCell ref="I20:I22"/>
    <mergeCell ref="J25:J27"/>
    <mergeCell ref="K67:K68"/>
    <mergeCell ref="B70:D72"/>
    <mergeCell ref="B64:D66"/>
    <mergeCell ref="E64:F64"/>
    <mergeCell ref="B58:D60"/>
    <mergeCell ref="E58:F58"/>
    <mergeCell ref="G61:G62"/>
    <mergeCell ref="H61:H62"/>
    <mergeCell ref="J61:J62"/>
    <mergeCell ref="K61:K62"/>
    <mergeCell ref="I61:I62"/>
    <mergeCell ref="I64:I66"/>
    <mergeCell ref="I70:I72"/>
    <mergeCell ref="I58:I60"/>
    <mergeCell ref="B13:C14"/>
    <mergeCell ref="J46:K48"/>
    <mergeCell ref="J41:K43"/>
    <mergeCell ref="H32:H33"/>
  </mergeCells>
  <printOptions horizontalCentered="1" verticalCentered="1"/>
  <pageMargins left="0.39370078740157483" right="0.39370078740157483" top="0.39370078740157483" bottom="0.39370078740157483" header="0.31496062992125984" footer="0.31496062992125984"/>
  <pageSetup paperSize="9" orientation="landscape" horizontalDpi="0" verticalDpi="0"/>
  <rowBreaks count="8" manualBreakCount="8">
    <brk id="7" max="16383" man="1"/>
    <brk id="28" max="16383" man="1"/>
    <brk id="49" max="16383" man="1"/>
    <brk id="73" max="16383" man="1"/>
    <brk id="94" max="16383" man="1"/>
    <brk id="140" max="16383" man="1"/>
    <brk id="188" max="16383" man="1"/>
    <brk id="500" max="16383" man="1"/>
  </rowBreaks>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4906D5EE-2477-9C46-B1A7-834FC88FD59C}">
          <x14:formula1>
            <xm:f>Languages!$H$186:$H$191</xm:f>
          </x14:formula1>
          <xm:sqref>K83:K93 K64:K66 K349:K361 K181:K193 K277:K289 K388:K394 K34 K148:K154 K39 K373:K379 K364:K370 K301:K307 K268:K274 K484:K499 K316:K322 K244:K250 K58:K60 K292:K298 K229:K241 K172:K178 K520:K523 K205:K217 K445:K451 K421:K433 K44 K325:K331 K460:K466 K469:K475 K436:K442 K412:K418 K220:K226 K70:K72 K253:K265 K126:K139 K104:K116 K397:K409 K340:K346 K157:K163 K196:K202 K514:K517 K508:K511 K13:K27</xm:sqref>
        </x14:dataValidation>
        <x14:dataValidation type="list" allowBlank="1" showInputMessage="1" showErrorMessage="1" xr:uid="{2A7FD9B8-389A-1047-A88E-A800A65959FD}">
          <x14:formula1>
            <xm:f>Languages!$I$190:$I$196</xm:f>
          </x14:formula1>
          <xm:sqref>I181 I126</xm:sqref>
        </x14:dataValidation>
        <x14:dataValidation type="list" allowBlank="1" showInputMessage="1" showErrorMessage="1" xr:uid="{0C725D9E-DC5D-624F-8761-7028375469C0}">
          <x14:formula1>
            <xm:f>Languages!$K$186:$K$196</xm:f>
          </x14:formula1>
          <xm:sqref>J515:J517 J221:J226 J127:J139 J64:J66 J197:J202 J173:J178 J245:J250 J413:J418 J39 J34 J509:J511 J70:J72 J104:J116 J83:J93 J446:J451 J374:J379 J398:J409 J422:J433 J341:J346 J326:J331 J58:J60 J389:J394 J254:J265 J350:J361 J470:J475 J365:J370 J278:J289 J437:J442 J269:J274 J461:J466 J293:J298 J230:J241 J302:J307 J44 J206:J217 J521:J523 J158:J163 J149:J154 J182:J193 J317:J322 J494:J499 J485:J492 J23:J24</xm:sqref>
        </x14:dataValidation>
        <x14:dataValidation type="list" allowBlank="1" showInputMessage="1" showErrorMessage="1" xr:uid="{A446B3B8-356E-F940-A3DB-F13ADB816C0A}">
          <x14:formula1>
            <xm:f>Languages!$J$183:$J$187</xm:f>
          </x14:formula1>
          <xm:sqref>I507 I14 I19 I24 I35 I40 I45 I228 I513 I195 I124 I101 I147 I156 I171 I219 I180 I267 I204 I80 I300 I243 I252 I315 I276 I291 I324 I339 I348 I363 I372 I387 I396 I411 I519 I420 I435 I444 I459 I468 I483 I492</xm:sqref>
        </x14:dataValidation>
        <x14:dataValidation type="list" allowBlank="1" showInputMessage="1" showErrorMessage="1" xr:uid="{2F445446-3C5E-CE4F-9433-D74316C35337}">
          <x14:formula1>
            <xm:f>Languages!$J$190:$J$194</xm:f>
          </x14:formula1>
          <xm:sqref>H506 H422:H431 H83:H93 H79 H100 H127:H139 H104:H116 H521:H523 H221:H227 H44:H47 H123 H146 H149:H155 H173:H179 H509:H512 H170 H197:H203 H194 H34:H35 H290 H326:H331 H242 H410 H266 H158:H163 H314 H470:H475 H338 H39:H40 H362 H461:H467 H386 H446:H451 H413:H419 H494:H499 H482 H434 H437:H443 H458 H278:H287 H485:H491 H218 H254:H263 H13:H24 H515:H518 H182:H191 H350:H359 H206:H215 H245:H251 H398:H407 H269:H275 H230:H239 H293:H299 H302:H307 H317:H323 H341:H347 H365:H371 H374:H379 H389:H395 H70:H72 H64:H67 H58:H61 H55</xm:sqref>
        </x14:dataValidation>
        <x14:dataValidation type="list" allowBlank="1" showInputMessage="1" showErrorMessage="1" xr:uid="{01530831-1B16-6B4E-BA53-C85F1301C3C6}">
          <x14:formula1>
            <xm:f>Languages!$P$172:$P$176</xm:f>
          </x14:formula1>
          <xm:sqref>H13:H15</xm:sqref>
        </x14:dataValidation>
        <x14:dataValidation type="list" allowBlank="1" showInputMessage="1" showErrorMessage="1" xr:uid="{C3D418FC-CD94-5043-9CF3-ADD32BF9F542}">
          <x14:formula1>
            <xm:f>Languages!$Q$181:$Q$196</xm:f>
          </x14:formula1>
          <xm:sqref>G104:G107 G127:G130</xm:sqref>
        </x14:dataValidation>
        <x14:dataValidation type="list" allowBlank="1" showInputMessage="1" showErrorMessage="1" xr:uid="{600DE33F-A65D-B04E-9EF1-DC88ECC8E56D}">
          <x14:formula1>
            <xm:f>Languages!$S$178:$S$193</xm:f>
          </x14:formula1>
          <xm:sqref>G14:G15 G18:G20 G39:G40 G23:G24 G34:G35 G44:G47 G64:G66 G70:G72 G58:G60</xm:sqref>
        </x14:dataValidation>
        <x14:dataValidation type="list" allowBlank="1" showInputMessage="1" showErrorMessage="1" xr:uid="{32C8BB5B-F833-B540-9A2B-00BA2882B3FE}">
          <x14:formula1>
            <xm:f>Languages!$S$178:$S$196</xm:f>
          </x14:formula1>
          <xm:sqref>G13</xm:sqref>
        </x14:dataValidation>
        <x14:dataValidation type="list" allowBlank="1" showInputMessage="1" showErrorMessage="1" xr:uid="{30365094-BCD1-0341-A5A7-5C1B9FAB18DF}">
          <x14:formula1>
            <xm:f>Languages!$U$173:$U$179</xm:f>
          </x14:formula1>
          <xm:sqref>I57 I63 I44 I69</xm:sqref>
        </x14:dataValidation>
        <x14:dataValidation type="list" allowBlank="1" showInputMessage="1" showErrorMessage="1" xr:uid="{F07A16D7-2E4B-4D4C-8F36-E2A8710119DF}">
          <x14:formula1>
            <xm:f>Languages!$Q$179:$Q$196</xm:f>
          </x14:formula1>
          <xm:sqref>G221:G223 G83:G86 G509 G515:G517 G521:G523 G494:G496 G182:G184 G485:G487 G470:G472 G461:G463 G446:G448 G149:G152 G317:G319 G302:G304 G293:G295 G254:G256 G278:G280 G269:G271 G173:G175 G230:G232 G245:G247 G206:G208 G197:G199 G350:G352 G326:G328 G365:G367 G158:G160 G374:G376 G341:G343 G389:G391 G398:G400 G413:G415 G422:G424 G437:G439</xm:sqref>
        </x14:dataValidation>
        <x14:dataValidation type="list" allowBlank="1" showInputMessage="1" showErrorMessage="1" xr:uid="{6EBF5F86-E95E-F746-9C55-A68501D81F3D}">
          <x14:formula1>
            <xm:f>Languages!$Q$171:$Q$180</xm:f>
          </x14:formula1>
          <xm:sqref>I194 I79 I506 I491 I482 I467 I458 I443 I434 I419 I518 I410 I395 I386 I371 I362 I347 I338 I323 I290 I275 I314 I251 I242 I299 I100 I203 I266 I179 I218 I170 I155 I146 I39 I34 I23 I18 I13 I123 I227 I512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9BE53-CD32-8C45-B2DC-57BFC7A40472}">
  <sheetPr codeName="Sheet4"/>
  <dimension ref="B1:AC787"/>
  <sheetViews>
    <sheetView tabSelected="1" zoomScaleNormal="100" workbookViewId="0">
      <selection activeCell="O12" sqref="O12"/>
    </sheetView>
  </sheetViews>
  <sheetFormatPr baseColWidth="10" defaultColWidth="10.83203125" defaultRowHeight="16" outlineLevelRow="1"/>
  <cols>
    <col min="1" max="1" width="1.83203125" customWidth="1"/>
    <col min="2" max="2" width="1.6640625" customWidth="1"/>
    <col min="3" max="3" width="14.83203125" customWidth="1"/>
    <col min="4" max="4" width="16.33203125" style="2" customWidth="1"/>
    <col min="5" max="5" width="6.6640625" style="7" customWidth="1"/>
    <col min="6" max="6" width="5" style="15" customWidth="1"/>
    <col min="7" max="7" width="15.33203125" style="7" customWidth="1"/>
    <col min="8" max="8" width="16.6640625" style="4" customWidth="1"/>
    <col min="9" max="9" width="15" style="15" customWidth="1"/>
    <col min="10" max="10" width="13.5" style="5" customWidth="1"/>
    <col min="11" max="11" width="5" style="5" customWidth="1"/>
    <col min="12" max="12" width="10.33203125" style="3" customWidth="1"/>
    <col min="13" max="13" width="8.6640625" style="3" customWidth="1"/>
    <col min="14" max="14" width="2.1640625" customWidth="1"/>
    <col min="15" max="15" width="33" style="2" customWidth="1"/>
    <col min="16" max="16" width="37.33203125" customWidth="1"/>
    <col min="17" max="17" width="16.1640625" style="2" customWidth="1"/>
    <col min="18" max="18" width="4.83203125" style="4" customWidth="1"/>
    <col min="19" max="19" width="17.6640625" style="10" customWidth="1"/>
    <col min="20" max="20" width="26.83203125" style="4" customWidth="1"/>
    <col min="21" max="21" width="15.33203125" style="4" customWidth="1"/>
    <col min="25" max="25" width="16.5" customWidth="1"/>
  </cols>
  <sheetData>
    <row r="1" spans="2:29" s="14" customFormat="1" ht="19" customHeight="1" thickBot="1">
      <c r="B1" s="564" t="s">
        <v>2259</v>
      </c>
      <c r="C1" s="161"/>
      <c r="D1" s="161"/>
      <c r="E1" s="161"/>
      <c r="F1" s="161"/>
      <c r="G1" s="431"/>
      <c r="H1" s="431"/>
      <c r="I1" s="161"/>
      <c r="J1" s="155"/>
      <c r="K1" s="28"/>
      <c r="L1" s="161"/>
      <c r="M1" s="161"/>
      <c r="N1"/>
      <c r="P1" s="154"/>
      <c r="Q1"/>
      <c r="R1"/>
      <c r="S1"/>
    </row>
    <row r="2" spans="2:29" ht="29" customHeight="1" thickBot="1">
      <c r="B2" s="765" t="str">
        <f>Settings!$B$9</f>
        <v>Damage Assessments for Sustainable Reconstruction in Ukraine</v>
      </c>
      <c r="C2" s="766"/>
      <c r="D2" s="766"/>
      <c r="E2" s="766"/>
      <c r="F2" s="766"/>
      <c r="G2" s="766"/>
      <c r="H2" s="766"/>
      <c r="I2" s="935" t="str">
        <f>Settings!G10</f>
        <v>Irpin Urban Area</v>
      </c>
      <c r="J2" s="936"/>
      <c r="K2" s="937"/>
      <c r="L2" s="160" t="s">
        <v>2209</v>
      </c>
      <c r="M2" s="157" t="str">
        <f>"1"</f>
        <v>1</v>
      </c>
      <c r="O2" s="899" t="s">
        <v>2020</v>
      </c>
      <c r="R2"/>
      <c r="S2"/>
    </row>
    <row r="3" spans="2:29" ht="32" customHeight="1">
      <c r="B3" s="876" t="str">
        <f>Languages!$P$178</f>
        <v>All buildings</v>
      </c>
      <c r="C3" s="877"/>
      <c r="D3" s="877"/>
      <c r="E3" s="877"/>
      <c r="F3" s="877"/>
      <c r="G3" s="877"/>
      <c r="H3" s="877"/>
      <c r="I3" s="179"/>
      <c r="J3" s="971" t="str">
        <f>Languages!$K$177</f>
        <v>Approx. repair costs, priority 4 &amp; 5 assets, m. Euro</v>
      </c>
      <c r="K3" s="972"/>
      <c r="L3" s="490">
        <f>(L9+L31+L53+L76+L99+L122+L145+L169+L193+L216+L239+L260+L281+L302+L326+L370+L409+L430+L452+L474+L498)</f>
        <v>56.674889999999998</v>
      </c>
      <c r="M3" s="269" t="s">
        <v>2180</v>
      </c>
      <c r="O3" s="900"/>
      <c r="R3"/>
      <c r="S3"/>
    </row>
    <row r="4" spans="2:29" ht="32" customHeight="1" thickBot="1">
      <c r="B4" s="878"/>
      <c r="C4" s="879"/>
      <c r="D4" s="879"/>
      <c r="E4" s="879"/>
      <c r="F4" s="879"/>
      <c r="G4" s="879"/>
      <c r="H4" s="879"/>
      <c r="I4" s="262"/>
      <c r="J4" s="800" t="str">
        <f>Languages!$K$176</f>
        <v>Approx. total repair costs, m. Euro</v>
      </c>
      <c r="K4" s="801"/>
      <c r="L4" s="490">
        <f>(L10+L32+L54+L77+L100+L123+L146+L170+L194+L217+L240+L261+L282+L303+L327+L371+L410+L431+L453+L475+L499)</f>
        <v>75.519029999999987</v>
      </c>
      <c r="M4" s="269" t="s">
        <v>2180</v>
      </c>
      <c r="O4" s="900"/>
    </row>
    <row r="5" spans="2:29" s="14" customFormat="1" ht="12" hidden="1" customHeight="1" outlineLevel="1">
      <c r="B5" s="175"/>
      <c r="C5" s="177"/>
      <c r="D5" s="177"/>
      <c r="E5" s="177"/>
      <c r="H5" s="177"/>
      <c r="I5" s="177"/>
      <c r="J5" s="4"/>
      <c r="K5" s="174"/>
      <c r="L5" s="174"/>
      <c r="M5" s="176"/>
      <c r="N5"/>
      <c r="P5" s="154"/>
      <c r="Q5"/>
      <c r="R5"/>
      <c r="S5"/>
    </row>
    <row r="6" spans="2:29" s="14" customFormat="1" ht="211" hidden="1" customHeight="1" outlineLevel="1" thickBot="1">
      <c r="B6" s="180"/>
      <c r="C6" s="897" t="s">
        <v>2254</v>
      </c>
      <c r="D6" s="897"/>
      <c r="E6" s="897"/>
      <c r="F6" s="897"/>
      <c r="G6" s="897"/>
      <c r="H6" s="897"/>
      <c r="I6" s="897" t="s">
        <v>2253</v>
      </c>
      <c r="J6" s="897"/>
      <c r="K6" s="897"/>
      <c r="L6" s="897"/>
      <c r="M6" s="898"/>
      <c r="N6"/>
    </row>
    <row r="7" spans="2:29" ht="15" customHeight="1" collapsed="1" thickBot="1">
      <c r="B7" s="163" t="s">
        <v>46</v>
      </c>
      <c r="C7" s="163"/>
      <c r="D7" s="163"/>
      <c r="E7" s="163"/>
      <c r="F7" s="163"/>
      <c r="G7" s="165"/>
      <c r="H7" s="12"/>
      <c r="I7" s="165"/>
      <c r="J7" s="12"/>
      <c r="K7" s="12"/>
      <c r="L7" s="12"/>
      <c r="M7" s="12"/>
      <c r="P7" s="2"/>
    </row>
    <row r="8" spans="2:29" ht="28" customHeight="1" thickBot="1">
      <c r="B8" s="765" t="str">
        <f>Settings!$B$9</f>
        <v>Damage Assessments for Sustainable Reconstruction in Ukraine</v>
      </c>
      <c r="C8" s="766"/>
      <c r="D8" s="766"/>
      <c r="E8" s="766"/>
      <c r="F8" s="766"/>
      <c r="G8" s="766"/>
      <c r="H8" s="766"/>
      <c r="I8" s="935" t="str">
        <f>I$2</f>
        <v>Irpin Urban Area</v>
      </c>
      <c r="J8" s="936"/>
      <c r="K8" s="937"/>
      <c r="L8" s="166" t="str">
        <f>L$2</f>
        <v>27Jan23</v>
      </c>
      <c r="M8" s="164" t="str">
        <f>"2"</f>
        <v>2</v>
      </c>
      <c r="P8" s="2"/>
      <c r="R8"/>
      <c r="S8"/>
    </row>
    <row r="9" spans="2:29" ht="27" customHeight="1">
      <c r="B9" s="938" t="str">
        <f>Languages!$C$255&amp;" 1"</f>
        <v>Houses and housing 1</v>
      </c>
      <c r="C9" s="939"/>
      <c r="D9" s="787" t="str">
        <f>Languages!$N$176</f>
        <v>Information on main asset &amp; sub-assets</v>
      </c>
      <c r="E9" s="788" t="str">
        <f>Languages!$I$188</f>
        <v>Area and/or quantity assessed</v>
      </c>
      <c r="F9" s="789"/>
      <c r="G9" s="792" t="str">
        <f>Languages!$M$194</f>
        <v>Enter info on type and area / quantity of assets, type and extent of damage.</v>
      </c>
      <c r="H9" s="793"/>
      <c r="I9" s="796" t="s">
        <v>2118</v>
      </c>
      <c r="J9" s="798" t="str">
        <f>Languages!$K$177</f>
        <v>Approx. repair costs, priority 4 &amp; 5 assets, m. Euro</v>
      </c>
      <c r="K9" s="799"/>
      <c r="L9" s="389">
        <f>IF(K13&gt;3,L13,0)+IF(K21&gt;3,L21,0)</f>
        <v>4.2</v>
      </c>
      <c r="M9" s="259" t="s">
        <v>1966</v>
      </c>
      <c r="P9" s="2"/>
      <c r="R9"/>
      <c r="S9"/>
    </row>
    <row r="10" spans="2:29" ht="27" customHeight="1">
      <c r="B10" s="940"/>
      <c r="C10" s="941"/>
      <c r="D10" s="768"/>
      <c r="E10" s="790"/>
      <c r="F10" s="791"/>
      <c r="G10" s="794"/>
      <c r="H10" s="795"/>
      <c r="I10" s="797"/>
      <c r="J10" s="800" t="str">
        <f>Languages!$K$176</f>
        <v>Approx. total repair costs, m. Euro</v>
      </c>
      <c r="K10" s="801"/>
      <c r="L10" s="264">
        <f>(L13+L21)</f>
        <v>6.76</v>
      </c>
      <c r="M10" s="260" t="s">
        <v>1966</v>
      </c>
      <c r="P10" s="2"/>
    </row>
    <row r="11" spans="2:29" ht="21" customHeight="1">
      <c r="B11" s="940"/>
      <c r="C11" s="941"/>
      <c r="D11" s="768"/>
      <c r="E11" s="802" t="s">
        <v>1546</v>
      </c>
      <c r="F11" s="804" t="str">
        <f>Languages!$N$178</f>
        <v>Unit type</v>
      </c>
      <c r="G11" s="767" t="s">
        <v>2122</v>
      </c>
      <c r="H11" s="769" t="s">
        <v>2132</v>
      </c>
      <c r="I11" s="895" t="str">
        <f>Languages!$E$190</f>
        <v>Social Impact level</v>
      </c>
      <c r="J11" s="323" t="str">
        <f>Languages!$K$178</f>
        <v>Actions</v>
      </c>
      <c r="K11" s="958" t="str">
        <f>Languages!$G$193</f>
        <v>Priority 
1 - 5</v>
      </c>
      <c r="L11" s="945" t="str">
        <f>Languages!$M$176</f>
        <v>Est. repair cost</v>
      </c>
      <c r="M11" s="946"/>
      <c r="P11" s="2"/>
    </row>
    <row r="12" spans="2:29" s="4" customFormat="1" ht="26" customHeight="1" thickBot="1">
      <c r="B12" s="940"/>
      <c r="C12" s="941"/>
      <c r="D12" s="768"/>
      <c r="E12" s="803"/>
      <c r="F12" s="805"/>
      <c r="G12" s="768"/>
      <c r="H12" s="770"/>
      <c r="I12" s="896"/>
      <c r="J12" s="492" t="str">
        <f>Languages!$K$185</f>
        <v>Action required</v>
      </c>
      <c r="K12" s="959"/>
      <c r="L12" s="493" t="str">
        <f>Languages!$M$177</f>
        <v>Total m. Euro</v>
      </c>
      <c r="M12" s="494" t="str">
        <f>Languages!$M$178</f>
        <v>Est. Euro</v>
      </c>
      <c r="N12"/>
      <c r="P12" s="2"/>
      <c r="Q12" s="2"/>
      <c r="S12" s="10"/>
      <c r="V12"/>
      <c r="W12"/>
      <c r="X12"/>
      <c r="Y12"/>
      <c r="Z12"/>
      <c r="AA12"/>
      <c r="AB12"/>
      <c r="AC12"/>
    </row>
    <row r="13" spans="2:29" ht="24" customHeight="1">
      <c r="B13" s="917" t="str">
        <f>Languages!$C$256&amp;"; 1-2 floors without basement."</f>
        <v>Single detached houses; 1-2 floors without basement.</v>
      </c>
      <c r="C13" s="921"/>
      <c r="D13" s="577" t="s">
        <v>2178</v>
      </c>
      <c r="E13" s="949">
        <v>1000</v>
      </c>
      <c r="F13" s="950"/>
      <c r="G13" s="951" t="s">
        <v>2139</v>
      </c>
      <c r="H13" s="967" t="s">
        <v>2124</v>
      </c>
      <c r="I13" s="501" t="s">
        <v>2103</v>
      </c>
      <c r="J13" s="927" t="s">
        <v>2212</v>
      </c>
      <c r="K13" s="929">
        <f>SUM(K16:K20)/5</f>
        <v>3.2</v>
      </c>
      <c r="L13" s="947">
        <f>SUM(L16:L20)/1000000</f>
        <v>4.2</v>
      </c>
      <c r="M13" s="942" t="str">
        <f xml:space="preserve"> "million Euro"</f>
        <v>million Euro</v>
      </c>
      <c r="Q13"/>
      <c r="R13"/>
      <c r="S13"/>
      <c r="T13"/>
      <c r="U13"/>
    </row>
    <row r="14" spans="2:29" ht="24" customHeight="1" thickBot="1">
      <c r="B14" s="919"/>
      <c r="C14" s="922"/>
      <c r="D14" s="578" t="s">
        <v>1555</v>
      </c>
      <c r="E14" s="931">
        <f>E13*E15</f>
        <v>60000</v>
      </c>
      <c r="F14" s="932"/>
      <c r="G14" s="952"/>
      <c r="H14" s="968"/>
      <c r="I14" s="538" t="s">
        <v>2120</v>
      </c>
      <c r="J14" s="928"/>
      <c r="K14" s="930"/>
      <c r="L14" s="948"/>
      <c r="M14" s="943"/>
      <c r="Q14"/>
      <c r="R14"/>
      <c r="S14"/>
      <c r="T14"/>
      <c r="U14"/>
    </row>
    <row r="15" spans="2:29" s="4" customFormat="1" ht="25" hidden="1" customHeight="1" outlineLevel="1">
      <c r="B15" s="915"/>
      <c r="C15" s="916"/>
      <c r="D15" s="495" t="s">
        <v>1582</v>
      </c>
      <c r="E15" s="336">
        <v>60</v>
      </c>
      <c r="F15" s="496" t="s">
        <v>1528</v>
      </c>
      <c r="G15" s="363" t="s">
        <v>2130</v>
      </c>
      <c r="H15" s="330" t="s">
        <v>2250</v>
      </c>
      <c r="I15" s="497" t="s">
        <v>2141</v>
      </c>
      <c r="J15" s="351" t="str">
        <f>Languages!$K$185</f>
        <v>Action required</v>
      </c>
      <c r="K15" s="362"/>
      <c r="L15" s="498" t="s">
        <v>2144</v>
      </c>
      <c r="M15" s="499" t="s">
        <v>2143</v>
      </c>
      <c r="N15"/>
      <c r="P15" s="2"/>
      <c r="Q15" s="2"/>
      <c r="S15" s="10"/>
      <c r="V15"/>
      <c r="W15"/>
      <c r="X15"/>
      <c r="Y15"/>
      <c r="Z15"/>
      <c r="AA15"/>
      <c r="AB15"/>
      <c r="AC15"/>
    </row>
    <row r="16" spans="2:29" s="4" customFormat="1" ht="25" hidden="1" customHeight="1" outlineLevel="1">
      <c r="B16" s="953" t="s">
        <v>2163</v>
      </c>
      <c r="C16" s="954"/>
      <c r="D16" s="973"/>
      <c r="E16" s="973"/>
      <c r="F16" s="974"/>
      <c r="G16" s="238" t="s">
        <v>1983</v>
      </c>
      <c r="H16" s="195" t="s">
        <v>2123</v>
      </c>
      <c r="I16" s="981"/>
      <c r="J16" s="308" t="s">
        <v>1449</v>
      </c>
      <c r="K16" s="328">
        <v>4</v>
      </c>
      <c r="L16" s="390">
        <f>E$13*E$15*M16</f>
        <v>1800000</v>
      </c>
      <c r="M16" s="335">
        <v>30</v>
      </c>
      <c r="N16"/>
      <c r="O16" s="2"/>
      <c r="P16" s="2"/>
      <c r="Q16" s="2"/>
      <c r="S16" s="10"/>
      <c r="V16"/>
      <c r="W16"/>
      <c r="X16"/>
      <c r="Y16"/>
      <c r="Z16"/>
      <c r="AA16"/>
      <c r="AB16"/>
      <c r="AC16"/>
    </row>
    <row r="17" spans="2:29" s="4" customFormat="1" ht="25" hidden="1" customHeight="1" outlineLevel="1">
      <c r="B17" s="953"/>
      <c r="C17" s="954"/>
      <c r="D17" s="954"/>
      <c r="E17" s="954"/>
      <c r="F17" s="955"/>
      <c r="G17" s="238" t="s">
        <v>1543</v>
      </c>
      <c r="H17" s="195" t="s">
        <v>2124</v>
      </c>
      <c r="I17" s="982"/>
      <c r="J17" s="308" t="s">
        <v>1449</v>
      </c>
      <c r="K17" s="310">
        <v>3</v>
      </c>
      <c r="L17" s="390">
        <f>E$13*E$15*M17</f>
        <v>1200000</v>
      </c>
      <c r="M17" s="335">
        <v>20</v>
      </c>
      <c r="N17"/>
      <c r="O17" s="2"/>
      <c r="P17" s="2"/>
      <c r="Q17" s="2"/>
      <c r="S17" s="10"/>
      <c r="V17"/>
      <c r="W17"/>
      <c r="X17"/>
      <c r="Y17"/>
      <c r="Z17"/>
      <c r="AA17"/>
      <c r="AB17"/>
      <c r="AC17"/>
    </row>
    <row r="18" spans="2:29" s="4" customFormat="1" ht="25" hidden="1" customHeight="1" outlineLevel="1">
      <c r="B18" s="953"/>
      <c r="C18" s="954"/>
      <c r="D18" s="954"/>
      <c r="E18" s="954"/>
      <c r="F18" s="955"/>
      <c r="G18" s="238" t="s">
        <v>1540</v>
      </c>
      <c r="H18" s="195" t="s">
        <v>2123</v>
      </c>
      <c r="I18" s="982"/>
      <c r="J18" s="308" t="s">
        <v>1473</v>
      </c>
      <c r="K18" s="310">
        <v>3</v>
      </c>
      <c r="L18" s="390">
        <f>E$13*E$15*M18</f>
        <v>600000</v>
      </c>
      <c r="M18" s="345">
        <v>10</v>
      </c>
      <c r="N18"/>
      <c r="O18" s="2"/>
      <c r="P18" s="2"/>
      <c r="Q18" s="2"/>
      <c r="S18" s="10"/>
      <c r="V18"/>
      <c r="W18"/>
      <c r="X18"/>
      <c r="Y18"/>
      <c r="Z18"/>
      <c r="AA18"/>
      <c r="AB18"/>
      <c r="AC18"/>
    </row>
    <row r="19" spans="2:29" s="4" customFormat="1" ht="25" hidden="1" customHeight="1" outlineLevel="1">
      <c r="B19" s="953"/>
      <c r="C19" s="954"/>
      <c r="D19" s="954"/>
      <c r="E19" s="954"/>
      <c r="F19" s="955"/>
      <c r="G19" s="238" t="s">
        <v>2038</v>
      </c>
      <c r="H19" s="195" t="s">
        <v>2127</v>
      </c>
      <c r="I19" s="982"/>
      <c r="J19" s="308" t="s">
        <v>1473</v>
      </c>
      <c r="K19" s="310">
        <v>3</v>
      </c>
      <c r="L19" s="390">
        <f>E$13*E$15*M19</f>
        <v>600000</v>
      </c>
      <c r="M19" s="345">
        <v>10</v>
      </c>
      <c r="N19"/>
      <c r="O19" s="2"/>
      <c r="P19" s="2"/>
      <c r="Q19" s="2"/>
      <c r="S19" s="10"/>
      <c r="V19"/>
      <c r="W19"/>
      <c r="X19"/>
      <c r="Y19"/>
      <c r="Z19"/>
      <c r="AA19"/>
      <c r="AB19"/>
      <c r="AC19"/>
    </row>
    <row r="20" spans="2:29" s="4" customFormat="1" ht="25" hidden="1" customHeight="1" outlineLevel="1" thickBot="1">
      <c r="B20" s="953"/>
      <c r="C20" s="954"/>
      <c r="D20" s="954"/>
      <c r="E20" s="954"/>
      <c r="F20" s="955"/>
      <c r="G20" s="423"/>
      <c r="H20" s="385" t="s">
        <v>2123</v>
      </c>
      <c r="I20" s="982"/>
      <c r="J20" s="399" t="s">
        <v>1473</v>
      </c>
      <c r="K20" s="400">
        <v>3</v>
      </c>
      <c r="L20" s="502">
        <f>E$13*E$15*M20</f>
        <v>0</v>
      </c>
      <c r="M20" s="401">
        <v>0</v>
      </c>
      <c r="N20"/>
      <c r="O20" s="2"/>
      <c r="P20" s="2"/>
      <c r="Q20" s="2"/>
      <c r="S20" s="10"/>
      <c r="V20"/>
      <c r="W20"/>
      <c r="X20"/>
      <c r="Y20"/>
      <c r="Z20"/>
      <c r="AA20"/>
      <c r="AB20"/>
      <c r="AC20"/>
    </row>
    <row r="21" spans="2:29" ht="24" customHeight="1" collapsed="1">
      <c r="B21" s="917" t="str">
        <f>Languages!$C$256&amp;"; 1-2 floors with basement."</f>
        <v>Single detached houses; 1-2 floors with basement.</v>
      </c>
      <c r="C21" s="921"/>
      <c r="D21" s="577" t="s">
        <v>2178</v>
      </c>
      <c r="E21" s="949">
        <v>400</v>
      </c>
      <c r="F21" s="950"/>
      <c r="G21" s="951" t="str">
        <f>G$13</f>
        <v>Whole Asset or Building</v>
      </c>
      <c r="H21" s="967" t="s">
        <v>2124</v>
      </c>
      <c r="I21" s="501" t="s">
        <v>2103</v>
      </c>
      <c r="J21" s="927" t="s">
        <v>2212</v>
      </c>
      <c r="K21" s="929">
        <f>SUM(K24:K28)/5</f>
        <v>2.8</v>
      </c>
      <c r="L21" s="947">
        <f>SUM(L24:L28)/1000000</f>
        <v>2.56</v>
      </c>
      <c r="M21" s="942" t="str">
        <f>M$13</f>
        <v>million Euro</v>
      </c>
      <c r="Q21"/>
      <c r="R21"/>
      <c r="S21"/>
      <c r="T21"/>
      <c r="U21"/>
    </row>
    <row r="22" spans="2:29" ht="24" customHeight="1" thickBot="1">
      <c r="B22" s="919"/>
      <c r="C22" s="922"/>
      <c r="D22" s="578" t="s">
        <v>1555</v>
      </c>
      <c r="E22" s="931">
        <f>E21*E23</f>
        <v>32000</v>
      </c>
      <c r="F22" s="932"/>
      <c r="G22" s="952"/>
      <c r="H22" s="968"/>
      <c r="I22" s="538" t="s">
        <v>2120</v>
      </c>
      <c r="J22" s="928"/>
      <c r="K22" s="930"/>
      <c r="L22" s="948"/>
      <c r="M22" s="943"/>
      <c r="Q22"/>
      <c r="R22"/>
      <c r="S22"/>
      <c r="T22"/>
      <c r="U22"/>
    </row>
    <row r="23" spans="2:29" s="4" customFormat="1" ht="25" hidden="1" customHeight="1" outlineLevel="1">
      <c r="B23" s="915"/>
      <c r="C23" s="916"/>
      <c r="D23" s="503" t="s">
        <v>1582</v>
      </c>
      <c r="E23" s="336">
        <v>80</v>
      </c>
      <c r="F23" s="496" t="s">
        <v>1528</v>
      </c>
      <c r="G23" s="421" t="str">
        <f>G$15</f>
        <v>Components</v>
      </c>
      <c r="H23" s="330" t="s">
        <v>2250</v>
      </c>
      <c r="I23" s="497" t="s">
        <v>2141</v>
      </c>
      <c r="J23" s="422" t="str">
        <f>Languages!$K$185</f>
        <v>Action required</v>
      </c>
      <c r="K23" s="362"/>
      <c r="L23" s="498" t="s">
        <v>2144</v>
      </c>
      <c r="M23" s="499" t="s">
        <v>2143</v>
      </c>
      <c r="N23"/>
      <c r="P23" s="2"/>
      <c r="Q23" s="2"/>
      <c r="S23" s="10"/>
      <c r="V23"/>
      <c r="W23"/>
      <c r="X23"/>
      <c r="Y23"/>
      <c r="Z23"/>
      <c r="AA23"/>
      <c r="AB23"/>
      <c r="AC23"/>
    </row>
    <row r="24" spans="2:29" s="4" customFormat="1" ht="25" hidden="1" customHeight="1" outlineLevel="1">
      <c r="B24" s="953" t="s">
        <v>2164</v>
      </c>
      <c r="C24" s="954"/>
      <c r="D24" s="973"/>
      <c r="E24" s="973"/>
      <c r="F24" s="974"/>
      <c r="G24" s="238" t="s">
        <v>1983</v>
      </c>
      <c r="H24" s="195" t="s">
        <v>2123</v>
      </c>
      <c r="I24" s="981"/>
      <c r="J24" s="312" t="s">
        <v>1454</v>
      </c>
      <c r="K24" s="310">
        <v>2</v>
      </c>
      <c r="L24" s="390">
        <f>E$21*E$23*M24</f>
        <v>704000</v>
      </c>
      <c r="M24" s="335">
        <v>22</v>
      </c>
      <c r="N24"/>
      <c r="O24" s="2"/>
      <c r="P24" s="2"/>
      <c r="Q24" s="2"/>
      <c r="S24" s="10"/>
      <c r="V24"/>
      <c r="W24"/>
      <c r="X24"/>
      <c r="Y24"/>
      <c r="Z24"/>
      <c r="AA24"/>
      <c r="AB24"/>
      <c r="AC24"/>
    </row>
    <row r="25" spans="2:29" s="4" customFormat="1" ht="25" hidden="1" customHeight="1" outlineLevel="1">
      <c r="B25" s="953"/>
      <c r="C25" s="954"/>
      <c r="D25" s="954"/>
      <c r="E25" s="954"/>
      <c r="F25" s="955"/>
      <c r="G25" s="238" t="s">
        <v>1543</v>
      </c>
      <c r="H25" s="195" t="s">
        <v>2127</v>
      </c>
      <c r="I25" s="982"/>
      <c r="J25" s="308" t="s">
        <v>1473</v>
      </c>
      <c r="K25" s="310">
        <v>3</v>
      </c>
      <c r="L25" s="390">
        <f t="shared" ref="L25:L28" si="0">E$21*E$23*M25</f>
        <v>480000</v>
      </c>
      <c r="M25" s="335">
        <v>15</v>
      </c>
      <c r="N25"/>
      <c r="O25" s="2"/>
      <c r="P25" s="2"/>
      <c r="Q25" s="2"/>
      <c r="S25" s="10"/>
      <c r="V25"/>
      <c r="W25"/>
      <c r="X25"/>
      <c r="Y25"/>
      <c r="Z25"/>
      <c r="AA25"/>
      <c r="AB25"/>
      <c r="AC25"/>
    </row>
    <row r="26" spans="2:29" s="4" customFormat="1" ht="25" hidden="1" customHeight="1" outlineLevel="1">
      <c r="B26" s="953"/>
      <c r="C26" s="954"/>
      <c r="D26" s="954"/>
      <c r="E26" s="954"/>
      <c r="F26" s="955"/>
      <c r="G26" s="238" t="s">
        <v>1540</v>
      </c>
      <c r="H26" s="195" t="s">
        <v>2125</v>
      </c>
      <c r="I26" s="982"/>
      <c r="J26" s="308" t="s">
        <v>1449</v>
      </c>
      <c r="K26" s="310">
        <v>3</v>
      </c>
      <c r="L26" s="390">
        <f t="shared" si="0"/>
        <v>384000</v>
      </c>
      <c r="M26" s="345">
        <v>12</v>
      </c>
      <c r="N26"/>
      <c r="O26" s="2"/>
      <c r="P26" s="2"/>
      <c r="Q26" s="2"/>
      <c r="S26" s="10"/>
      <c r="V26"/>
      <c r="W26"/>
      <c r="X26"/>
      <c r="Y26"/>
      <c r="Z26"/>
      <c r="AA26"/>
      <c r="AB26"/>
      <c r="AC26"/>
    </row>
    <row r="27" spans="2:29" s="4" customFormat="1" ht="25" hidden="1" customHeight="1" outlineLevel="1">
      <c r="B27" s="953"/>
      <c r="C27" s="954"/>
      <c r="D27" s="954"/>
      <c r="E27" s="954"/>
      <c r="F27" s="955"/>
      <c r="G27" s="238" t="s">
        <v>2038</v>
      </c>
      <c r="H27" s="195" t="s">
        <v>2123</v>
      </c>
      <c r="I27" s="982"/>
      <c r="J27" s="308" t="s">
        <v>1449</v>
      </c>
      <c r="K27" s="310">
        <v>3</v>
      </c>
      <c r="L27" s="390">
        <f t="shared" si="0"/>
        <v>640000</v>
      </c>
      <c r="M27" s="345">
        <v>20</v>
      </c>
      <c r="N27"/>
      <c r="O27" s="2"/>
      <c r="P27" s="2"/>
      <c r="Q27" s="2"/>
      <c r="S27" s="10"/>
      <c r="V27"/>
      <c r="W27"/>
      <c r="X27"/>
      <c r="Y27"/>
      <c r="Z27"/>
      <c r="AA27"/>
      <c r="AB27"/>
      <c r="AC27"/>
    </row>
    <row r="28" spans="2:29" s="4" customFormat="1" ht="25" hidden="1" customHeight="1" outlineLevel="1" thickBot="1">
      <c r="B28" s="992" t="s">
        <v>2252</v>
      </c>
      <c r="C28" s="993"/>
      <c r="D28" s="993"/>
      <c r="E28" s="993"/>
      <c r="F28" s="994"/>
      <c r="G28" s="402" t="s">
        <v>2150</v>
      </c>
      <c r="H28" s="195" t="s">
        <v>2123</v>
      </c>
      <c r="I28" s="983"/>
      <c r="J28" s="313" t="s">
        <v>1449</v>
      </c>
      <c r="K28" s="314">
        <v>3</v>
      </c>
      <c r="L28" s="390">
        <f t="shared" si="0"/>
        <v>352000</v>
      </c>
      <c r="M28" s="386">
        <v>11</v>
      </c>
      <c r="N28"/>
      <c r="O28" s="2"/>
      <c r="P28" s="2"/>
      <c r="Q28" s="2"/>
      <c r="S28" s="10"/>
      <c r="V28"/>
      <c r="W28"/>
      <c r="X28"/>
      <c r="Y28"/>
      <c r="Z28"/>
      <c r="AA28"/>
      <c r="AB28"/>
      <c r="AC28"/>
    </row>
    <row r="29" spans="2:29" ht="15" customHeight="1" collapsed="1" thickBot="1">
      <c r="B29" s="163" t="s">
        <v>46</v>
      </c>
      <c r="C29" s="163"/>
      <c r="D29" s="163"/>
      <c r="E29" s="163"/>
      <c r="F29" s="163"/>
      <c r="G29" s="194"/>
      <c r="H29" s="12"/>
      <c r="I29" s="165"/>
      <c r="J29" s="12"/>
      <c r="K29" s="12"/>
      <c r="L29" s="12"/>
      <c r="M29" s="12"/>
      <c r="P29" s="2"/>
    </row>
    <row r="30" spans="2:29" ht="28" customHeight="1" thickBot="1">
      <c r="B30" s="765" t="str">
        <f>Settings!$B$9</f>
        <v>Damage Assessments for Sustainable Reconstruction in Ukraine</v>
      </c>
      <c r="C30" s="766"/>
      <c r="D30" s="766"/>
      <c r="E30" s="766"/>
      <c r="F30" s="766"/>
      <c r="G30" s="766"/>
      <c r="H30" s="766"/>
      <c r="I30" s="935" t="str">
        <f>I$2</f>
        <v>Irpin Urban Area</v>
      </c>
      <c r="J30" s="936"/>
      <c r="K30" s="937"/>
      <c r="L30" s="166" t="str">
        <f>L$2</f>
        <v>27Jan23</v>
      </c>
      <c r="M30" s="164">
        <v>3</v>
      </c>
      <c r="P30" s="2"/>
      <c r="R30"/>
      <c r="S30"/>
    </row>
    <row r="31" spans="2:29" ht="27" customHeight="1">
      <c r="B31" s="938" t="str">
        <f>Languages!$C$255&amp;" 2"</f>
        <v>Houses and housing 2</v>
      </c>
      <c r="C31" s="939"/>
      <c r="D31" s="787" t="str">
        <f>Languages!$N$176</f>
        <v>Information on main asset &amp; sub-assets</v>
      </c>
      <c r="E31" s="788" t="str">
        <f>Languages!$I$188</f>
        <v>Area and/or quantity assessed</v>
      </c>
      <c r="F31" s="789"/>
      <c r="G31" s="792" t="str">
        <f>Languages!$M$194</f>
        <v>Enter info on type and area / quantity of assets, type and extent of damage.</v>
      </c>
      <c r="H31" s="793"/>
      <c r="I31" s="796" t="s">
        <v>2118</v>
      </c>
      <c r="J31" s="798" t="str">
        <f>Languages!$K$177</f>
        <v>Approx. repair costs, priority 4 &amp; 5 assets, m. Euro</v>
      </c>
      <c r="K31" s="799"/>
      <c r="L31" s="389">
        <f>IF(K35&gt;3,L35,0)+IF(K43&gt;3,L43,0)</f>
        <v>0.56399999999999995</v>
      </c>
      <c r="M31" s="259" t="s">
        <v>1966</v>
      </c>
      <c r="P31" s="2"/>
      <c r="R31"/>
      <c r="S31"/>
    </row>
    <row r="32" spans="2:29" ht="27" customHeight="1">
      <c r="B32" s="940"/>
      <c r="C32" s="941"/>
      <c r="D32" s="768"/>
      <c r="E32" s="790"/>
      <c r="F32" s="791"/>
      <c r="G32" s="794"/>
      <c r="H32" s="795"/>
      <c r="I32" s="797"/>
      <c r="J32" s="800" t="str">
        <f>Languages!$K$176</f>
        <v>Approx. total repair costs, m. Euro</v>
      </c>
      <c r="K32" s="801"/>
      <c r="L32" s="264">
        <f>(L35+L43)</f>
        <v>0.88649999999999995</v>
      </c>
      <c r="M32" s="260" t="s">
        <v>1966</v>
      </c>
      <c r="P32" s="2"/>
    </row>
    <row r="33" spans="2:29" ht="21" customHeight="1">
      <c r="B33" s="940"/>
      <c r="C33" s="941"/>
      <c r="D33" s="768"/>
      <c r="E33" s="802" t="s">
        <v>1546</v>
      </c>
      <c r="F33" s="804" t="str">
        <f>Languages!$N$178</f>
        <v>Unit type</v>
      </c>
      <c r="G33" s="769" t="s">
        <v>2122</v>
      </c>
      <c r="H33" s="769" t="s">
        <v>2132</v>
      </c>
      <c r="I33" s="956" t="str">
        <f>Languages!$E$190</f>
        <v>Social Impact level</v>
      </c>
      <c r="J33" s="323" t="str">
        <f>Languages!$K$178</f>
        <v>Actions</v>
      </c>
      <c r="K33" s="958" t="str">
        <f>Languages!$G$193</f>
        <v>Priority 
1 - 5</v>
      </c>
      <c r="L33" s="945" t="str">
        <f>Languages!$M$176</f>
        <v>Est. repair cost</v>
      </c>
      <c r="M33" s="946"/>
      <c r="P33" s="2"/>
    </row>
    <row r="34" spans="2:29" s="4" customFormat="1" ht="26" customHeight="1" thickBot="1">
      <c r="B34" s="940"/>
      <c r="C34" s="941"/>
      <c r="D34" s="768"/>
      <c r="E34" s="803"/>
      <c r="F34" s="805"/>
      <c r="G34" s="770"/>
      <c r="H34" s="770"/>
      <c r="I34" s="957"/>
      <c r="J34" s="492" t="str">
        <f>Languages!$K$185</f>
        <v>Action required</v>
      </c>
      <c r="K34" s="959"/>
      <c r="L34" s="493" t="str">
        <f>Languages!$M$177</f>
        <v>Total m. Euro</v>
      </c>
      <c r="M34" s="494" t="str">
        <f>Languages!$M$178</f>
        <v>Est. Euro</v>
      </c>
      <c r="N34"/>
      <c r="P34" s="2"/>
      <c r="Q34" s="2"/>
      <c r="S34" s="10"/>
      <c r="V34"/>
      <c r="W34"/>
      <c r="X34"/>
      <c r="Y34"/>
      <c r="Z34"/>
      <c r="AA34"/>
      <c r="AB34"/>
      <c r="AC34"/>
    </row>
    <row r="35" spans="2:29" ht="24" customHeight="1">
      <c r="B35" s="917" t="str">
        <f>Languages!$C$256&amp;"; 2-3 floors with basement."</f>
        <v>Single detached houses; 2-3 floors with basement.</v>
      </c>
      <c r="C35" s="921"/>
      <c r="D35" s="579" t="s">
        <v>2178</v>
      </c>
      <c r="E35" s="949">
        <v>50</v>
      </c>
      <c r="F35" s="950"/>
      <c r="G35" s="951" t="s">
        <v>2139</v>
      </c>
      <c r="H35" s="967" t="s">
        <v>2124</v>
      </c>
      <c r="I35" s="501" t="s">
        <v>2103</v>
      </c>
      <c r="J35" s="927" t="s">
        <v>2212</v>
      </c>
      <c r="K35" s="929">
        <f>SUM(K38:K42)/5</f>
        <v>3.2</v>
      </c>
      <c r="L35" s="947">
        <f>SUM(L38:L42)/1000000</f>
        <v>0.56399999999999995</v>
      </c>
      <c r="M35" s="942" t="str">
        <f xml:space="preserve"> "million Euro"</f>
        <v>million Euro</v>
      </c>
      <c r="Q35"/>
      <c r="R35"/>
      <c r="S35"/>
      <c r="T35"/>
      <c r="U35"/>
    </row>
    <row r="36" spans="2:29" ht="24" customHeight="1" thickBot="1">
      <c r="B36" s="919"/>
      <c r="C36" s="922"/>
      <c r="D36" s="550" t="s">
        <v>1555</v>
      </c>
      <c r="E36" s="931">
        <f>E35*E37</f>
        <v>6000</v>
      </c>
      <c r="F36" s="932"/>
      <c r="G36" s="952"/>
      <c r="H36" s="968"/>
      <c r="I36" s="538" t="s">
        <v>2120</v>
      </c>
      <c r="J36" s="928"/>
      <c r="K36" s="930"/>
      <c r="L36" s="948"/>
      <c r="M36" s="943"/>
      <c r="Q36"/>
      <c r="R36"/>
      <c r="S36"/>
      <c r="T36"/>
      <c r="U36"/>
    </row>
    <row r="37" spans="2:29" s="4" customFormat="1" ht="25" hidden="1" customHeight="1" outlineLevel="1">
      <c r="B37" s="915"/>
      <c r="C37" s="916"/>
      <c r="D37" s="495" t="s">
        <v>1582</v>
      </c>
      <c r="E37" s="336">
        <v>120</v>
      </c>
      <c r="F37" s="496" t="s">
        <v>1528</v>
      </c>
      <c r="G37" s="363" t="s">
        <v>2130</v>
      </c>
      <c r="H37" s="330" t="s">
        <v>2250</v>
      </c>
      <c r="I37" s="497" t="s">
        <v>2141</v>
      </c>
      <c r="J37" s="351" t="str">
        <f>Languages!$K$185</f>
        <v>Action required</v>
      </c>
      <c r="K37" s="362"/>
      <c r="L37" s="498" t="s">
        <v>2144</v>
      </c>
      <c r="M37" s="499" t="s">
        <v>2143</v>
      </c>
      <c r="N37"/>
      <c r="P37" s="2"/>
      <c r="Q37" s="2"/>
      <c r="S37" s="10"/>
      <c r="V37"/>
      <c r="W37"/>
      <c r="X37"/>
      <c r="Y37"/>
      <c r="Z37"/>
      <c r="AA37"/>
      <c r="AB37"/>
      <c r="AC37"/>
    </row>
    <row r="38" spans="2:29" s="4" customFormat="1" ht="25" hidden="1" customHeight="1" outlineLevel="1">
      <c r="B38" s="953" t="s">
        <v>2162</v>
      </c>
      <c r="C38" s="954"/>
      <c r="D38" s="973"/>
      <c r="E38" s="973"/>
      <c r="F38" s="974"/>
      <c r="G38" s="238" t="s">
        <v>1543</v>
      </c>
      <c r="H38" s="195" t="s">
        <v>2123</v>
      </c>
      <c r="I38" s="984"/>
      <c r="J38" s="308" t="s">
        <v>1449</v>
      </c>
      <c r="K38" s="328">
        <v>4</v>
      </c>
      <c r="L38" s="390">
        <f>E$35*E$37*M38</f>
        <v>180000</v>
      </c>
      <c r="M38" s="335">
        <v>30</v>
      </c>
      <c r="N38"/>
      <c r="O38" s="2"/>
      <c r="P38" s="2"/>
      <c r="Q38" s="2"/>
      <c r="S38" s="10"/>
      <c r="V38"/>
      <c r="W38"/>
      <c r="X38"/>
      <c r="Y38"/>
      <c r="Z38"/>
      <c r="AA38"/>
      <c r="AB38"/>
      <c r="AC38"/>
    </row>
    <row r="39" spans="2:29" s="4" customFormat="1" ht="25" hidden="1" customHeight="1" outlineLevel="1">
      <c r="B39" s="953"/>
      <c r="C39" s="954"/>
      <c r="D39" s="954"/>
      <c r="E39" s="954"/>
      <c r="F39" s="955"/>
      <c r="G39" s="238" t="s">
        <v>1540</v>
      </c>
      <c r="H39" s="195" t="s">
        <v>2127</v>
      </c>
      <c r="I39" s="985"/>
      <c r="J39" s="308" t="s">
        <v>1449</v>
      </c>
      <c r="K39" s="310">
        <v>3</v>
      </c>
      <c r="L39" s="390">
        <f t="shared" ref="L39:L42" si="1">E$35*E$37*M39</f>
        <v>120000</v>
      </c>
      <c r="M39" s="335">
        <v>20</v>
      </c>
      <c r="N39"/>
      <c r="O39" s="2"/>
      <c r="P39" s="2"/>
      <c r="Q39" s="2"/>
      <c r="S39" s="10"/>
      <c r="V39"/>
      <c r="W39"/>
      <c r="X39"/>
      <c r="Y39"/>
      <c r="Z39"/>
      <c r="AA39"/>
      <c r="AB39"/>
      <c r="AC39"/>
    </row>
    <row r="40" spans="2:29" s="4" customFormat="1" ht="25" hidden="1" customHeight="1" outlineLevel="1">
      <c r="B40" s="953"/>
      <c r="C40" s="954"/>
      <c r="D40" s="954"/>
      <c r="E40" s="954"/>
      <c r="F40" s="955"/>
      <c r="G40" s="238" t="s">
        <v>2038</v>
      </c>
      <c r="H40" s="195" t="s">
        <v>2125</v>
      </c>
      <c r="I40" s="985"/>
      <c r="J40" s="308" t="s">
        <v>1473</v>
      </c>
      <c r="K40" s="310">
        <v>3</v>
      </c>
      <c r="L40" s="390">
        <f t="shared" si="1"/>
        <v>60000</v>
      </c>
      <c r="M40" s="345">
        <v>10</v>
      </c>
      <c r="N40"/>
      <c r="O40" s="2"/>
      <c r="P40" s="2"/>
      <c r="Q40" s="2"/>
      <c r="S40" s="10"/>
      <c r="V40"/>
      <c r="W40"/>
      <c r="X40"/>
      <c r="Y40"/>
      <c r="Z40"/>
      <c r="AA40"/>
      <c r="AB40"/>
      <c r="AC40"/>
    </row>
    <row r="41" spans="2:29" s="4" customFormat="1" ht="25" hidden="1" customHeight="1" outlineLevel="1">
      <c r="B41" s="953"/>
      <c r="C41" s="954"/>
      <c r="D41" s="954"/>
      <c r="E41" s="954"/>
      <c r="F41" s="955"/>
      <c r="G41" s="152" t="s">
        <v>2150</v>
      </c>
      <c r="H41" s="195" t="s">
        <v>2123</v>
      </c>
      <c r="I41" s="985"/>
      <c r="J41" s="308" t="s">
        <v>1449</v>
      </c>
      <c r="K41" s="310">
        <v>3</v>
      </c>
      <c r="L41" s="390">
        <f t="shared" si="1"/>
        <v>96000</v>
      </c>
      <c r="M41" s="345">
        <v>16</v>
      </c>
      <c r="N41"/>
      <c r="O41" s="2"/>
      <c r="P41" s="2"/>
      <c r="Q41" s="2"/>
      <c r="S41" s="10"/>
      <c r="V41"/>
      <c r="W41"/>
      <c r="X41"/>
      <c r="Y41"/>
      <c r="Z41"/>
      <c r="AA41"/>
      <c r="AB41"/>
      <c r="AC41"/>
    </row>
    <row r="42" spans="2:29" s="4" customFormat="1" ht="25" hidden="1" customHeight="1" outlineLevel="1" thickBot="1">
      <c r="B42" s="953"/>
      <c r="C42" s="954"/>
      <c r="D42" s="954"/>
      <c r="E42" s="954"/>
      <c r="F42" s="955"/>
      <c r="G42" s="153" t="s">
        <v>2152</v>
      </c>
      <c r="H42" s="385" t="s">
        <v>2123</v>
      </c>
      <c r="I42" s="985"/>
      <c r="J42" s="312" t="s">
        <v>1473</v>
      </c>
      <c r="K42" s="309">
        <v>3</v>
      </c>
      <c r="L42" s="502">
        <f t="shared" si="1"/>
        <v>108000</v>
      </c>
      <c r="M42" s="420">
        <v>18</v>
      </c>
      <c r="N42"/>
      <c r="O42" s="2"/>
      <c r="P42" s="2"/>
      <c r="Q42" s="2"/>
      <c r="S42" s="10"/>
      <c r="V42"/>
      <c r="W42"/>
      <c r="X42"/>
      <c r="Y42"/>
      <c r="Z42"/>
      <c r="AA42"/>
      <c r="AB42"/>
      <c r="AC42"/>
    </row>
    <row r="43" spans="2:29" ht="24" customHeight="1" collapsed="1">
      <c r="B43" s="917" t="str">
        <f>Languages!$C$257</f>
        <v>Attached housing units</v>
      </c>
      <c r="C43" s="918"/>
      <c r="D43" s="579" t="s">
        <v>2178</v>
      </c>
      <c r="E43" s="949">
        <v>100</v>
      </c>
      <c r="F43" s="950"/>
      <c r="G43" s="951" t="str">
        <f>G$13</f>
        <v>Whole Asset or Building</v>
      </c>
      <c r="H43" s="967" t="s">
        <v>2124</v>
      </c>
      <c r="I43" s="501" t="s">
        <v>2103</v>
      </c>
      <c r="J43" s="927" t="s">
        <v>2212</v>
      </c>
      <c r="K43" s="929">
        <f>SUM(K46:K50)/5</f>
        <v>2.6</v>
      </c>
      <c r="L43" s="947">
        <f>SUM(L46:L50)/1000000</f>
        <v>0.32250000000000001</v>
      </c>
      <c r="M43" s="942" t="str">
        <f>M$13</f>
        <v>million Euro</v>
      </c>
      <c r="Q43"/>
      <c r="R43"/>
      <c r="S43"/>
      <c r="T43"/>
      <c r="U43"/>
    </row>
    <row r="44" spans="2:29" ht="24" customHeight="1" thickBot="1">
      <c r="B44" s="919"/>
      <c r="C44" s="920"/>
      <c r="D44" s="550" t="s">
        <v>1555</v>
      </c>
      <c r="E44" s="931">
        <f>E43*E45</f>
        <v>7500</v>
      </c>
      <c r="F44" s="932"/>
      <c r="G44" s="952"/>
      <c r="H44" s="968"/>
      <c r="I44" s="538" t="s">
        <v>2120</v>
      </c>
      <c r="J44" s="928"/>
      <c r="K44" s="930"/>
      <c r="L44" s="948"/>
      <c r="M44" s="943"/>
      <c r="Q44"/>
      <c r="R44"/>
      <c r="S44"/>
      <c r="T44"/>
      <c r="U44"/>
    </row>
    <row r="45" spans="2:29" s="4" customFormat="1" ht="25" hidden="1" customHeight="1" outlineLevel="1">
      <c r="B45" s="915"/>
      <c r="C45" s="916"/>
      <c r="D45" s="503" t="s">
        <v>1582</v>
      </c>
      <c r="E45" s="336">
        <v>75</v>
      </c>
      <c r="F45" s="496" t="s">
        <v>1528</v>
      </c>
      <c r="G45" s="421" t="str">
        <f>G$15</f>
        <v>Components</v>
      </c>
      <c r="H45" s="330" t="s">
        <v>2250</v>
      </c>
      <c r="I45" s="497" t="s">
        <v>2141</v>
      </c>
      <c r="J45" s="422" t="str">
        <f>Languages!$K$185</f>
        <v>Action required</v>
      </c>
      <c r="K45" s="362"/>
      <c r="L45" s="498" t="s">
        <v>2144</v>
      </c>
      <c r="M45" s="499" t="s">
        <v>2143</v>
      </c>
      <c r="N45"/>
      <c r="P45" s="2"/>
      <c r="Q45" s="2"/>
      <c r="S45" s="10"/>
      <c r="V45"/>
      <c r="W45"/>
      <c r="X45"/>
      <c r="Y45"/>
      <c r="Z45"/>
      <c r="AA45"/>
      <c r="AB45"/>
      <c r="AC45"/>
    </row>
    <row r="46" spans="2:29" s="4" customFormat="1" ht="25" hidden="1" customHeight="1" outlineLevel="1">
      <c r="B46" s="953"/>
      <c r="C46" s="954"/>
      <c r="D46" s="973"/>
      <c r="E46" s="973"/>
      <c r="F46" s="974"/>
      <c r="G46" s="238" t="s">
        <v>1983</v>
      </c>
      <c r="H46" s="195" t="s">
        <v>2123</v>
      </c>
      <c r="I46" s="984"/>
      <c r="J46" s="312" t="s">
        <v>1454</v>
      </c>
      <c r="K46" s="310">
        <v>2</v>
      </c>
      <c r="L46" s="390">
        <f>E$43*E$45*M46</f>
        <v>15000</v>
      </c>
      <c r="M46" s="335">
        <v>2</v>
      </c>
      <c r="N46"/>
      <c r="O46" s="2"/>
      <c r="P46" s="2"/>
      <c r="Q46" s="2"/>
      <c r="S46" s="10"/>
      <c r="V46"/>
      <c r="W46"/>
      <c r="X46"/>
      <c r="Y46"/>
      <c r="Z46"/>
      <c r="AA46"/>
      <c r="AB46"/>
      <c r="AC46"/>
    </row>
    <row r="47" spans="2:29" s="4" customFormat="1" ht="25" hidden="1" customHeight="1" outlineLevel="1">
      <c r="B47" s="953"/>
      <c r="C47" s="954"/>
      <c r="D47" s="954"/>
      <c r="E47" s="954"/>
      <c r="F47" s="955"/>
      <c r="G47" s="238" t="s">
        <v>1543</v>
      </c>
      <c r="H47" s="195" t="s">
        <v>2127</v>
      </c>
      <c r="I47" s="985"/>
      <c r="J47" s="308" t="s">
        <v>1473</v>
      </c>
      <c r="K47" s="310">
        <v>3</v>
      </c>
      <c r="L47" s="390">
        <f t="shared" ref="L47:L50" si="2">E$43*E$45*M47</f>
        <v>90000</v>
      </c>
      <c r="M47" s="335">
        <v>12</v>
      </c>
      <c r="N47"/>
      <c r="O47" s="2"/>
      <c r="P47" s="2"/>
      <c r="Q47" s="2"/>
      <c r="S47" s="10"/>
      <c r="V47"/>
      <c r="W47"/>
      <c r="X47"/>
      <c r="Y47"/>
      <c r="Z47"/>
      <c r="AA47"/>
      <c r="AB47"/>
      <c r="AC47"/>
    </row>
    <row r="48" spans="2:29" s="4" customFormat="1" ht="25" hidden="1" customHeight="1" outlineLevel="1">
      <c r="B48" s="953"/>
      <c r="C48" s="954"/>
      <c r="D48" s="954"/>
      <c r="E48" s="954"/>
      <c r="F48" s="955"/>
      <c r="G48" s="238" t="s">
        <v>1540</v>
      </c>
      <c r="H48" s="195" t="s">
        <v>2125</v>
      </c>
      <c r="I48" s="985"/>
      <c r="J48" s="308" t="s">
        <v>1449</v>
      </c>
      <c r="K48" s="310">
        <v>3</v>
      </c>
      <c r="L48" s="390">
        <f t="shared" si="2"/>
        <v>135000</v>
      </c>
      <c r="M48" s="345">
        <v>18</v>
      </c>
      <c r="N48"/>
      <c r="O48" s="2"/>
      <c r="P48" s="2"/>
      <c r="Q48" s="2"/>
      <c r="S48" s="10"/>
      <c r="V48"/>
      <c r="W48"/>
      <c r="X48"/>
      <c r="Y48"/>
      <c r="Z48"/>
      <c r="AA48"/>
      <c r="AB48"/>
      <c r="AC48"/>
    </row>
    <row r="49" spans="2:29" s="4" customFormat="1" ht="25" hidden="1" customHeight="1" outlineLevel="1">
      <c r="B49" s="953"/>
      <c r="C49" s="954"/>
      <c r="D49" s="954"/>
      <c r="E49" s="954"/>
      <c r="F49" s="955"/>
      <c r="G49" s="181" t="s">
        <v>2151</v>
      </c>
      <c r="H49" s="195" t="s">
        <v>2125</v>
      </c>
      <c r="I49" s="985"/>
      <c r="J49" s="308" t="s">
        <v>1449</v>
      </c>
      <c r="K49" s="310">
        <v>2</v>
      </c>
      <c r="L49" s="390">
        <f t="shared" si="2"/>
        <v>82500</v>
      </c>
      <c r="M49" s="345">
        <v>11</v>
      </c>
      <c r="N49"/>
      <c r="O49" s="2"/>
      <c r="P49" s="2"/>
      <c r="Q49" s="2"/>
      <c r="S49" s="10"/>
      <c r="V49"/>
      <c r="W49"/>
      <c r="X49"/>
      <c r="Y49"/>
      <c r="Z49"/>
      <c r="AA49"/>
      <c r="AB49"/>
      <c r="AC49"/>
    </row>
    <row r="50" spans="2:29" s="4" customFormat="1" ht="25" hidden="1" customHeight="1" outlineLevel="1" thickBot="1">
      <c r="B50" s="953"/>
      <c r="C50" s="954"/>
      <c r="D50" s="954"/>
      <c r="E50" s="954"/>
      <c r="F50" s="955"/>
      <c r="G50" s="397" t="s">
        <v>2166</v>
      </c>
      <c r="H50" s="195" t="s">
        <v>2123</v>
      </c>
      <c r="I50" s="986"/>
      <c r="J50" s="313" t="s">
        <v>1449</v>
      </c>
      <c r="K50" s="314">
        <v>3</v>
      </c>
      <c r="L50" s="390">
        <f t="shared" si="2"/>
        <v>0</v>
      </c>
      <c r="M50" s="386">
        <v>0</v>
      </c>
      <c r="N50"/>
      <c r="O50" s="2"/>
      <c r="P50" s="2"/>
      <c r="Q50" s="2"/>
      <c r="S50" s="10"/>
      <c r="V50"/>
      <c r="W50"/>
      <c r="X50"/>
      <c r="Y50"/>
      <c r="Z50"/>
      <c r="AA50"/>
      <c r="AB50"/>
      <c r="AC50"/>
    </row>
    <row r="51" spans="2:29" ht="15" customHeight="1" collapsed="1" thickBot="1">
      <c r="B51" s="163" t="s">
        <v>46</v>
      </c>
      <c r="C51" s="163"/>
      <c r="D51" s="163"/>
      <c r="E51" s="163"/>
      <c r="F51" s="163"/>
      <c r="G51" s="194"/>
      <c r="H51" s="12"/>
      <c r="I51" s="165"/>
      <c r="J51" s="12"/>
      <c r="K51" s="12"/>
      <c r="L51" s="12"/>
      <c r="M51" s="12"/>
      <c r="P51" s="2"/>
    </row>
    <row r="52" spans="2:29" ht="28" customHeight="1" thickBot="1">
      <c r="B52" s="765" t="str">
        <f>Settings!$B$9</f>
        <v>Damage Assessments for Sustainable Reconstruction in Ukraine</v>
      </c>
      <c r="C52" s="766"/>
      <c r="D52" s="766"/>
      <c r="E52" s="766"/>
      <c r="F52" s="766"/>
      <c r="G52" s="766"/>
      <c r="H52" s="766"/>
      <c r="I52" s="935" t="str">
        <f>I$2</f>
        <v>Irpin Urban Area</v>
      </c>
      <c r="J52" s="936"/>
      <c r="K52" s="937"/>
      <c r="L52" s="160" t="str">
        <f>L$2</f>
        <v>27Jan23</v>
      </c>
      <c r="M52" s="157">
        <v>4</v>
      </c>
      <c r="O52"/>
      <c r="R52"/>
      <c r="S52"/>
    </row>
    <row r="53" spans="2:29" ht="27" customHeight="1">
      <c r="B53" s="938" t="str">
        <f>Languages!$C$255&amp;" 3"</f>
        <v>Houses and housing 3</v>
      </c>
      <c r="C53" s="939"/>
      <c r="D53" s="787"/>
      <c r="E53" s="788" t="str">
        <f>Languages!$I$188</f>
        <v>Area and/or quantity assessed</v>
      </c>
      <c r="F53" s="789"/>
      <c r="G53" s="792" t="str">
        <f>Languages!$M$194</f>
        <v>Enter info on type and area / quantity of assets, type and extent of damage.</v>
      </c>
      <c r="H53" s="793"/>
      <c r="I53" s="796" t="s">
        <v>2118</v>
      </c>
      <c r="J53" s="798" t="str">
        <f>Languages!$K$177</f>
        <v>Approx. repair costs, priority 4 &amp; 5 assets, m. Euro</v>
      </c>
      <c r="K53" s="799"/>
      <c r="L53" s="389">
        <f>IF(K57&gt;3,L57)+IF(K65&gt;3,L65)</f>
        <v>21.335999999999999</v>
      </c>
      <c r="M53" s="259" t="s">
        <v>1966</v>
      </c>
      <c r="O53"/>
      <c r="R53"/>
      <c r="S53"/>
    </row>
    <row r="54" spans="2:29" ht="27" customHeight="1">
      <c r="B54" s="940"/>
      <c r="C54" s="941"/>
      <c r="D54" s="768"/>
      <c r="E54" s="790"/>
      <c r="F54" s="791"/>
      <c r="G54" s="794"/>
      <c r="H54" s="795"/>
      <c r="I54" s="797"/>
      <c r="J54" s="852" t="str">
        <f>Languages!$K$176</f>
        <v>Approx. total repair costs, m. Euro</v>
      </c>
      <c r="K54" s="853"/>
      <c r="L54" s="264">
        <f>(L57+L65)</f>
        <v>22.084799999999998</v>
      </c>
      <c r="M54" s="260" t="s">
        <v>1966</v>
      </c>
      <c r="O54"/>
    </row>
    <row r="55" spans="2:29" ht="20" customHeight="1">
      <c r="B55" s="940"/>
      <c r="C55" s="941"/>
      <c r="D55" s="768"/>
      <c r="E55" s="802" t="s">
        <v>1546</v>
      </c>
      <c r="F55" s="769" t="str">
        <f>Languages!$N$178</f>
        <v>Unit type</v>
      </c>
      <c r="G55" s="769" t="s">
        <v>2122</v>
      </c>
      <c r="H55" s="769" t="s">
        <v>2132</v>
      </c>
      <c r="I55" s="331" t="s">
        <v>2117</v>
      </c>
      <c r="J55" s="771" t="str">
        <f>Languages!$K$178</f>
        <v>Actions</v>
      </c>
      <c r="K55" s="772"/>
      <c r="L55" s="945" t="str">
        <f>Languages!$M$176</f>
        <v>Est. repair cost</v>
      </c>
      <c r="M55" s="946"/>
      <c r="O55"/>
    </row>
    <row r="56" spans="2:29" s="4" customFormat="1" ht="25" customHeight="1" thickBot="1">
      <c r="B56" s="940"/>
      <c r="C56" s="941"/>
      <c r="D56" s="768"/>
      <c r="E56" s="803"/>
      <c r="F56" s="770"/>
      <c r="G56" s="770"/>
      <c r="H56" s="770"/>
      <c r="I56" s="330" t="str">
        <f>Languages!$E$190</f>
        <v>Social Impact level</v>
      </c>
      <c r="J56" s="492" t="str">
        <f>Languages!$K$185</f>
        <v>Action required</v>
      </c>
      <c r="K56" s="504" t="str">
        <f>Languages!$G$193</f>
        <v>Priority 
1 - 5</v>
      </c>
      <c r="L56" s="493" t="str">
        <f>Languages!$M$177</f>
        <v>Total m. Euro</v>
      </c>
      <c r="M56" s="494" t="str">
        <f>Languages!$M$178</f>
        <v>Est. Euro</v>
      </c>
      <c r="N56"/>
      <c r="P56"/>
      <c r="Q56" s="2"/>
      <c r="S56" s="10"/>
      <c r="V56"/>
      <c r="W56"/>
      <c r="X56"/>
      <c r="Y56"/>
      <c r="Z56"/>
      <c r="AA56"/>
      <c r="AB56"/>
      <c r="AC56"/>
    </row>
    <row r="57" spans="2:29" ht="24" customHeight="1">
      <c r="B57" s="917" t="str">
        <f>Languages!$C$258</f>
        <v>MURB building =&lt; 3 floors</v>
      </c>
      <c r="C57" s="918"/>
      <c r="D57" s="580" t="str">
        <f>G57</f>
        <v>Whole Asset or Building</v>
      </c>
      <c r="E57" s="933">
        <v>40</v>
      </c>
      <c r="F57" s="934"/>
      <c r="G57" s="951" t="str">
        <f>G$13</f>
        <v>Whole Asset or Building</v>
      </c>
      <c r="H57" s="967" t="s">
        <v>2125</v>
      </c>
      <c r="I57" s="501" t="s">
        <v>2103</v>
      </c>
      <c r="J57" s="927" t="s">
        <v>2212</v>
      </c>
      <c r="K57" s="929">
        <f>SUM(K60:K64)/5</f>
        <v>3</v>
      </c>
      <c r="L57" s="947">
        <f>SUM(L60:L64)/1000000</f>
        <v>0.74880000000000002</v>
      </c>
      <c r="M57" s="942" t="str">
        <f>M$13</f>
        <v>million Euro</v>
      </c>
      <c r="Q57"/>
      <c r="R57"/>
      <c r="S57"/>
      <c r="T57"/>
      <c r="U57"/>
    </row>
    <row r="58" spans="2:29" s="4" customFormat="1" ht="22" customHeight="1" thickBot="1">
      <c r="B58" s="919"/>
      <c r="C58" s="920"/>
      <c r="D58" s="550" t="s">
        <v>1555</v>
      </c>
      <c r="E58" s="944">
        <f>E57*E59</f>
        <v>144000</v>
      </c>
      <c r="F58" s="932"/>
      <c r="G58" s="952"/>
      <c r="H58" s="968"/>
      <c r="I58" s="538" t="s">
        <v>2120</v>
      </c>
      <c r="J58" s="928"/>
      <c r="K58" s="930"/>
      <c r="L58" s="948"/>
      <c r="M58" s="943"/>
      <c r="N58"/>
      <c r="P58"/>
      <c r="Q58" s="2"/>
      <c r="S58" s="10"/>
      <c r="V58"/>
      <c r="W58"/>
      <c r="X58"/>
      <c r="Y58"/>
      <c r="Z58"/>
      <c r="AA58"/>
      <c r="AB58"/>
      <c r="AC58"/>
    </row>
    <row r="59" spans="2:29" s="4" customFormat="1" ht="25" hidden="1" customHeight="1" outlineLevel="1">
      <c r="B59" s="915"/>
      <c r="C59" s="916"/>
      <c r="D59" s="423" t="s">
        <v>1553</v>
      </c>
      <c r="E59" s="358">
        <v>3600</v>
      </c>
      <c r="F59" s="361" t="s">
        <v>1528</v>
      </c>
      <c r="G59" s="363" t="str">
        <f>G$15</f>
        <v>Components</v>
      </c>
      <c r="H59" s="330" t="s">
        <v>2250</v>
      </c>
      <c r="I59" s="497" t="s">
        <v>2141</v>
      </c>
      <c r="J59" s="351" t="str">
        <f>Languages!$K$185</f>
        <v>Action required</v>
      </c>
      <c r="K59" s="362"/>
      <c r="L59" s="498" t="s">
        <v>2144</v>
      </c>
      <c r="M59" s="499" t="s">
        <v>2143</v>
      </c>
      <c r="N59"/>
      <c r="P59"/>
      <c r="Q59" s="2"/>
      <c r="S59" s="10"/>
      <c r="V59"/>
      <c r="W59"/>
      <c r="X59"/>
      <c r="Y59"/>
      <c r="Z59"/>
      <c r="AA59"/>
      <c r="AB59"/>
      <c r="AC59"/>
    </row>
    <row r="60" spans="2:29" s="4" customFormat="1" ht="25" hidden="1" customHeight="1" outlineLevel="1">
      <c r="B60" s="953" t="s">
        <v>2167</v>
      </c>
      <c r="C60" s="954"/>
      <c r="D60" s="973"/>
      <c r="E60" s="973"/>
      <c r="F60" s="974"/>
      <c r="G60" s="238" t="s">
        <v>1983</v>
      </c>
      <c r="H60" s="195" t="s">
        <v>2124</v>
      </c>
      <c r="I60" s="976"/>
      <c r="J60" s="308" t="s">
        <v>1473</v>
      </c>
      <c r="K60" s="310">
        <v>3</v>
      </c>
      <c r="L60" s="390">
        <f>E$57*E$59*M60</f>
        <v>288000</v>
      </c>
      <c r="M60" s="345">
        <v>2</v>
      </c>
      <c r="N60"/>
      <c r="P60"/>
      <c r="Q60" s="2"/>
      <c r="S60" s="10"/>
      <c r="V60"/>
      <c r="W60"/>
      <c r="X60"/>
      <c r="Y60"/>
      <c r="Z60"/>
      <c r="AA60"/>
      <c r="AB60"/>
      <c r="AC60"/>
    </row>
    <row r="61" spans="2:29" s="4" customFormat="1" ht="25" hidden="1" customHeight="1" outlineLevel="1">
      <c r="B61" s="953"/>
      <c r="C61" s="954"/>
      <c r="D61" s="954"/>
      <c r="E61" s="954"/>
      <c r="F61" s="955"/>
      <c r="G61" s="238" t="s">
        <v>1543</v>
      </c>
      <c r="H61" s="195" t="s">
        <v>2123</v>
      </c>
      <c r="I61" s="977"/>
      <c r="J61" s="308" t="s">
        <v>1449</v>
      </c>
      <c r="K61" s="310">
        <v>3</v>
      </c>
      <c r="L61" s="390">
        <f t="shared" ref="L61:L64" si="3">E$57*E$59*M61</f>
        <v>144000</v>
      </c>
      <c r="M61" s="335">
        <v>1</v>
      </c>
      <c r="N61"/>
      <c r="P61"/>
      <c r="Q61" s="2"/>
      <c r="S61" s="10"/>
      <c r="V61"/>
      <c r="W61"/>
      <c r="X61"/>
      <c r="Y61"/>
      <c r="Z61"/>
      <c r="AA61"/>
      <c r="AB61"/>
      <c r="AC61"/>
    </row>
    <row r="62" spans="2:29" s="4" customFormat="1" ht="25" hidden="1" customHeight="1" outlineLevel="1">
      <c r="B62" s="953"/>
      <c r="C62" s="954"/>
      <c r="D62" s="954"/>
      <c r="E62" s="954"/>
      <c r="F62" s="955"/>
      <c r="G62" s="238" t="s">
        <v>1540</v>
      </c>
      <c r="H62" s="385" t="s">
        <v>2123</v>
      </c>
      <c r="I62" s="977"/>
      <c r="J62" s="312" t="s">
        <v>1449</v>
      </c>
      <c r="K62" s="309">
        <v>3</v>
      </c>
      <c r="L62" s="390">
        <f t="shared" si="3"/>
        <v>115200</v>
      </c>
      <c r="M62" s="356">
        <v>0.8</v>
      </c>
      <c r="N62"/>
      <c r="P62"/>
      <c r="Q62" s="2"/>
      <c r="S62" s="10"/>
      <c r="V62"/>
      <c r="W62"/>
      <c r="X62"/>
      <c r="Y62"/>
      <c r="Z62"/>
      <c r="AA62"/>
      <c r="AB62"/>
      <c r="AC62"/>
    </row>
    <row r="63" spans="2:29" s="4" customFormat="1" ht="25" hidden="1" customHeight="1" outlineLevel="1">
      <c r="B63" s="953"/>
      <c r="C63" s="954"/>
      <c r="D63" s="954"/>
      <c r="E63" s="954"/>
      <c r="F63" s="955"/>
      <c r="G63" s="238" t="s">
        <v>2038</v>
      </c>
      <c r="H63" s="385" t="s">
        <v>2123</v>
      </c>
      <c r="I63" s="977"/>
      <c r="J63" s="312" t="s">
        <v>1449</v>
      </c>
      <c r="K63" s="309">
        <v>3</v>
      </c>
      <c r="L63" s="390">
        <f t="shared" si="3"/>
        <v>172800</v>
      </c>
      <c r="M63" s="356">
        <v>1.2</v>
      </c>
      <c r="N63"/>
      <c r="P63"/>
      <c r="Q63" s="2"/>
      <c r="S63" s="10"/>
      <c r="V63"/>
      <c r="W63"/>
      <c r="X63"/>
      <c r="Y63"/>
      <c r="Z63"/>
      <c r="AA63"/>
      <c r="AB63"/>
      <c r="AC63"/>
    </row>
    <row r="64" spans="2:29" s="4" customFormat="1" ht="25" hidden="1" customHeight="1" outlineLevel="1" thickBot="1">
      <c r="B64" s="953"/>
      <c r="C64" s="954"/>
      <c r="D64" s="954"/>
      <c r="E64" s="954"/>
      <c r="F64" s="955"/>
      <c r="G64" s="428" t="s">
        <v>2149</v>
      </c>
      <c r="H64" s="385" t="s">
        <v>2123</v>
      </c>
      <c r="I64" s="977"/>
      <c r="J64" s="312" t="s">
        <v>1449</v>
      </c>
      <c r="K64" s="309">
        <v>3</v>
      </c>
      <c r="L64" s="502">
        <f t="shared" si="3"/>
        <v>28800</v>
      </c>
      <c r="M64" s="356">
        <v>0.2</v>
      </c>
      <c r="N64"/>
      <c r="P64"/>
      <c r="Q64" s="2"/>
      <c r="S64" s="10"/>
      <c r="V64"/>
      <c r="W64"/>
      <c r="X64"/>
      <c r="Y64"/>
      <c r="Z64"/>
      <c r="AA64"/>
      <c r="AB64"/>
      <c r="AC64"/>
    </row>
    <row r="65" spans="2:29" ht="24" customHeight="1" collapsed="1">
      <c r="B65" s="917" t="str">
        <f>Languages!$C$259&amp;"; 8 floors"</f>
        <v>MURB building 4+ floors; 8 floors</v>
      </c>
      <c r="C65" s="918"/>
      <c r="D65" s="579" t="s">
        <v>2178</v>
      </c>
      <c r="E65" s="933">
        <v>20</v>
      </c>
      <c r="F65" s="934"/>
      <c r="G65" s="951" t="str">
        <f>G$13</f>
        <v>Whole Asset or Building</v>
      </c>
      <c r="H65" s="967" t="s">
        <v>2124</v>
      </c>
      <c r="I65" s="501" t="s">
        <v>2103</v>
      </c>
      <c r="J65" s="927" t="s">
        <v>2212</v>
      </c>
      <c r="K65" s="929">
        <f>SUM(K68:K73)/6</f>
        <v>3.6666666666666665</v>
      </c>
      <c r="L65" s="947">
        <f>SUM(L68:L73)/1000000</f>
        <v>21.335999999999999</v>
      </c>
      <c r="M65" s="942" t="str">
        <f>M$13</f>
        <v>million Euro</v>
      </c>
      <c r="Q65"/>
      <c r="R65"/>
      <c r="S65"/>
      <c r="T65"/>
      <c r="U65"/>
    </row>
    <row r="66" spans="2:29" s="4" customFormat="1" ht="22" customHeight="1" thickBot="1">
      <c r="B66" s="919"/>
      <c r="C66" s="920"/>
      <c r="D66" s="550" t="s">
        <v>1555</v>
      </c>
      <c r="E66" s="944">
        <f>E65*E67</f>
        <v>192000</v>
      </c>
      <c r="F66" s="932"/>
      <c r="G66" s="952"/>
      <c r="H66" s="968"/>
      <c r="I66" s="538" t="s">
        <v>2120</v>
      </c>
      <c r="J66" s="928"/>
      <c r="K66" s="930"/>
      <c r="L66" s="948"/>
      <c r="M66" s="943"/>
      <c r="N66"/>
      <c r="O66" s="2"/>
      <c r="P66"/>
      <c r="Q66" s="2"/>
      <c r="S66" s="10"/>
      <c r="V66"/>
      <c r="W66"/>
      <c r="X66"/>
      <c r="Y66"/>
      <c r="Z66"/>
      <c r="AA66"/>
      <c r="AB66"/>
      <c r="AC66"/>
    </row>
    <row r="67" spans="2:29" s="4" customFormat="1" ht="25" hidden="1" customHeight="1" outlineLevel="1">
      <c r="B67" s="915"/>
      <c r="C67" s="916"/>
      <c r="D67" s="503" t="s">
        <v>1553</v>
      </c>
      <c r="E67" s="360">
        <v>9600</v>
      </c>
      <c r="F67" s="338" t="s">
        <v>1528</v>
      </c>
      <c r="G67" s="421" t="str">
        <f>G$15</f>
        <v>Components</v>
      </c>
      <c r="H67" s="330" t="s">
        <v>2250</v>
      </c>
      <c r="I67" s="497" t="s">
        <v>2141</v>
      </c>
      <c r="J67" s="422" t="str">
        <f>Languages!$K$185</f>
        <v>Action required</v>
      </c>
      <c r="K67" s="362"/>
      <c r="L67" s="498" t="s">
        <v>2144</v>
      </c>
      <c r="M67" s="499" t="s">
        <v>2143</v>
      </c>
      <c r="N67"/>
      <c r="O67" s="2"/>
      <c r="P67"/>
      <c r="Q67" s="2"/>
      <c r="S67" s="10"/>
      <c r="V67"/>
      <c r="W67"/>
      <c r="X67"/>
      <c r="Y67"/>
      <c r="Z67"/>
      <c r="AA67"/>
      <c r="AB67"/>
      <c r="AC67"/>
    </row>
    <row r="68" spans="2:29" s="4" customFormat="1" ht="25" hidden="1" customHeight="1" outlineLevel="1">
      <c r="B68" s="953"/>
      <c r="C68" s="954"/>
      <c r="D68" s="973"/>
      <c r="E68" s="973"/>
      <c r="F68" s="974"/>
      <c r="G68" s="238" t="s">
        <v>1983</v>
      </c>
      <c r="H68" s="195" t="s">
        <v>2124</v>
      </c>
      <c r="I68" s="976"/>
      <c r="J68" s="308" t="s">
        <v>1449</v>
      </c>
      <c r="K68" s="310">
        <v>4</v>
      </c>
      <c r="L68" s="390">
        <f>E$65*E$67*M68</f>
        <v>960000</v>
      </c>
      <c r="M68" s="345">
        <v>5</v>
      </c>
      <c r="N68"/>
      <c r="O68" s="2"/>
      <c r="P68"/>
      <c r="Q68" s="2"/>
      <c r="S68" s="10"/>
      <c r="V68"/>
      <c r="W68"/>
      <c r="X68"/>
      <c r="Y68"/>
      <c r="Z68"/>
      <c r="AA68"/>
      <c r="AB68"/>
      <c r="AC68"/>
    </row>
    <row r="69" spans="2:29" s="4" customFormat="1" ht="25" hidden="1" customHeight="1" outlineLevel="1">
      <c r="B69" s="953"/>
      <c r="C69" s="954"/>
      <c r="D69" s="954"/>
      <c r="E69" s="954"/>
      <c r="F69" s="955"/>
      <c r="G69" s="238" t="s">
        <v>1543</v>
      </c>
      <c r="H69" s="195" t="s">
        <v>2124</v>
      </c>
      <c r="I69" s="977"/>
      <c r="J69" s="308" t="s">
        <v>1454</v>
      </c>
      <c r="K69" s="310">
        <v>5</v>
      </c>
      <c r="L69" s="390">
        <f t="shared" ref="L69:L72" si="4">E$65*E$67*M69</f>
        <v>576000</v>
      </c>
      <c r="M69" s="335">
        <v>3</v>
      </c>
      <c r="N69"/>
      <c r="O69" s="2"/>
      <c r="P69"/>
      <c r="Q69" s="2"/>
      <c r="S69" s="10"/>
      <c r="V69"/>
      <c r="W69"/>
      <c r="X69"/>
      <c r="Y69"/>
      <c r="Z69"/>
      <c r="AA69"/>
      <c r="AB69"/>
      <c r="AC69"/>
    </row>
    <row r="70" spans="2:29" s="4" customFormat="1" ht="25" hidden="1" customHeight="1" outlineLevel="1">
      <c r="B70" s="953"/>
      <c r="C70" s="954"/>
      <c r="D70" s="954"/>
      <c r="E70" s="954"/>
      <c r="F70" s="955"/>
      <c r="G70" s="238" t="s">
        <v>1540</v>
      </c>
      <c r="H70" s="195" t="s">
        <v>2124</v>
      </c>
      <c r="I70" s="977"/>
      <c r="J70" s="308" t="s">
        <v>1449</v>
      </c>
      <c r="K70" s="310">
        <v>3</v>
      </c>
      <c r="L70" s="390">
        <f t="shared" si="4"/>
        <v>1344000</v>
      </c>
      <c r="M70" s="345">
        <v>7</v>
      </c>
      <c r="N70"/>
      <c r="O70" s="2"/>
      <c r="P70"/>
      <c r="Q70" s="2"/>
      <c r="S70" s="10"/>
      <c r="V70"/>
      <c r="W70"/>
      <c r="X70"/>
      <c r="Y70"/>
      <c r="Z70"/>
      <c r="AA70"/>
      <c r="AB70"/>
      <c r="AC70"/>
    </row>
    <row r="71" spans="2:29" s="4" customFormat="1" ht="25" hidden="1" customHeight="1" outlineLevel="1">
      <c r="B71" s="953"/>
      <c r="C71" s="954"/>
      <c r="D71" s="954"/>
      <c r="E71" s="954"/>
      <c r="F71" s="955"/>
      <c r="G71" s="238" t="s">
        <v>2038</v>
      </c>
      <c r="H71" s="195" t="s">
        <v>2124</v>
      </c>
      <c r="I71" s="977"/>
      <c r="J71" s="308" t="s">
        <v>1449</v>
      </c>
      <c r="K71" s="310">
        <v>3</v>
      </c>
      <c r="L71" s="390">
        <f t="shared" si="4"/>
        <v>2112000</v>
      </c>
      <c r="M71" s="345">
        <v>11</v>
      </c>
      <c r="N71"/>
      <c r="O71" s="2"/>
      <c r="P71"/>
      <c r="Q71" s="2"/>
      <c r="S71" s="10"/>
      <c r="V71"/>
      <c r="W71"/>
      <c r="X71"/>
      <c r="Y71"/>
      <c r="Z71"/>
      <c r="AA71"/>
      <c r="AB71"/>
      <c r="AC71"/>
    </row>
    <row r="72" spans="2:29" s="4" customFormat="1" ht="25" hidden="1" customHeight="1" outlineLevel="1">
      <c r="B72" s="1003"/>
      <c r="C72" s="1004"/>
      <c r="D72" s="1004"/>
      <c r="E72" s="1004"/>
      <c r="F72" s="1005"/>
      <c r="G72" s="428" t="s">
        <v>2168</v>
      </c>
      <c r="H72" s="413" t="s">
        <v>2124</v>
      </c>
      <c r="I72" s="987"/>
      <c r="J72" s="414" t="s">
        <v>1449</v>
      </c>
      <c r="K72" s="328">
        <v>3</v>
      </c>
      <c r="L72" s="390">
        <f t="shared" si="4"/>
        <v>1344000</v>
      </c>
      <c r="M72" s="335">
        <v>7</v>
      </c>
      <c r="N72"/>
      <c r="O72" s="2"/>
      <c r="P72"/>
      <c r="Q72" s="2"/>
      <c r="S72" s="10"/>
      <c r="V72"/>
      <c r="W72"/>
      <c r="X72"/>
      <c r="Y72"/>
      <c r="Z72"/>
      <c r="AA72"/>
      <c r="AB72"/>
      <c r="AC72"/>
    </row>
    <row r="73" spans="2:29" s="4" customFormat="1" ht="25" hidden="1" customHeight="1" outlineLevel="1" thickBot="1">
      <c r="B73" s="978" t="s">
        <v>2157</v>
      </c>
      <c r="C73" s="979"/>
      <c r="D73" s="979"/>
      <c r="E73" s="979"/>
      <c r="F73" s="980"/>
      <c r="G73" s="238" t="s">
        <v>1541</v>
      </c>
      <c r="H73" s="195" t="s">
        <v>2125</v>
      </c>
      <c r="I73" s="406" t="s">
        <v>2159</v>
      </c>
      <c r="J73" s="308" t="s">
        <v>1454</v>
      </c>
      <c r="K73" s="310">
        <v>4</v>
      </c>
      <c r="L73" s="465">
        <f>E$65*750000</f>
        <v>15000000</v>
      </c>
      <c r="M73" s="432"/>
      <c r="N73"/>
      <c r="O73" s="2"/>
      <c r="P73"/>
      <c r="Q73" s="2"/>
      <c r="S73" s="10"/>
      <c r="V73"/>
      <c r="W73"/>
      <c r="X73"/>
      <c r="Y73"/>
      <c r="Z73"/>
      <c r="AA73"/>
      <c r="AB73"/>
      <c r="AC73"/>
    </row>
    <row r="74" spans="2:29" ht="15" customHeight="1" collapsed="1" thickBot="1">
      <c r="B74" s="163" t="s">
        <v>46</v>
      </c>
      <c r="C74" s="163"/>
      <c r="D74" s="163"/>
      <c r="E74" s="163"/>
      <c r="F74" s="163"/>
      <c r="G74" s="165"/>
      <c r="H74" s="12"/>
      <c r="I74" s="165"/>
      <c r="J74" s="12"/>
      <c r="K74" s="12"/>
      <c r="L74" s="12"/>
      <c r="M74" s="12"/>
    </row>
    <row r="75" spans="2:29" s="4" customFormat="1" ht="28" customHeight="1" thickBot="1">
      <c r="B75" s="765" t="str">
        <f>Settings!$B$9</f>
        <v>Damage Assessments for Sustainable Reconstruction in Ukraine</v>
      </c>
      <c r="C75" s="766"/>
      <c r="D75" s="766"/>
      <c r="E75" s="766"/>
      <c r="F75" s="766"/>
      <c r="G75" s="766"/>
      <c r="H75" s="766"/>
      <c r="I75" s="935" t="str">
        <f>I$2</f>
        <v>Irpin Urban Area</v>
      </c>
      <c r="J75" s="936"/>
      <c r="K75" s="937"/>
      <c r="L75" s="160" t="str">
        <f>L$2</f>
        <v>27Jan23</v>
      </c>
      <c r="M75" s="157">
        <v>5</v>
      </c>
      <c r="N75"/>
      <c r="O75"/>
      <c r="P75"/>
      <c r="Q75" s="2"/>
      <c r="S75" s="10"/>
      <c r="V75"/>
      <c r="W75"/>
      <c r="X75"/>
      <c r="Y75"/>
      <c r="Z75"/>
      <c r="AA75"/>
      <c r="AB75"/>
      <c r="AC75"/>
    </row>
    <row r="76" spans="2:29" s="4" customFormat="1" ht="27" customHeight="1">
      <c r="B76" s="938" t="str">
        <f>Languages!$C$189&amp;" 1"</f>
        <v>Health facilities 1</v>
      </c>
      <c r="C76" s="939"/>
      <c r="D76" s="787" t="str">
        <f>Languages!$N$176</f>
        <v>Information on main asset &amp; sub-assets</v>
      </c>
      <c r="E76" s="788" t="str">
        <f>Languages!$I$188</f>
        <v>Area and/or quantity assessed</v>
      </c>
      <c r="F76" s="789"/>
      <c r="G76" s="792" t="str">
        <f>Languages!$M$194</f>
        <v>Enter info on type and area / quantity of assets, type and extent of damage.</v>
      </c>
      <c r="H76" s="793"/>
      <c r="I76" s="796" t="s">
        <v>2118</v>
      </c>
      <c r="J76" s="798" t="str">
        <f>Languages!$K$177</f>
        <v>Approx. repair costs, priority 4 &amp; 5 assets, m. Euro</v>
      </c>
      <c r="K76" s="799"/>
      <c r="L76" s="389">
        <f>IF(K80&gt;3,L80)+IF(K88&gt;3,L88)</f>
        <v>4.8</v>
      </c>
      <c r="M76" s="259" t="s">
        <v>1966</v>
      </c>
      <c r="N76"/>
      <c r="O76"/>
      <c r="P76"/>
      <c r="Q76" s="2"/>
      <c r="R76"/>
      <c r="S76"/>
      <c r="V76"/>
      <c r="W76"/>
      <c r="X76"/>
      <c r="Y76"/>
      <c r="Z76"/>
      <c r="AA76"/>
      <c r="AB76"/>
      <c r="AC76"/>
    </row>
    <row r="77" spans="2:29" ht="27" customHeight="1">
      <c r="B77" s="940"/>
      <c r="C77" s="941"/>
      <c r="D77" s="768"/>
      <c r="E77" s="790"/>
      <c r="F77" s="791"/>
      <c r="G77" s="794"/>
      <c r="H77" s="795"/>
      <c r="I77" s="797"/>
      <c r="J77" s="852" t="str">
        <f>Languages!$K$176</f>
        <v>Approx. total repair costs, m. Euro</v>
      </c>
      <c r="K77" s="853"/>
      <c r="L77" s="264">
        <f>(L80+L88)</f>
        <v>4.8</v>
      </c>
      <c r="M77" s="260" t="s">
        <v>1966</v>
      </c>
    </row>
    <row r="78" spans="2:29" ht="19" customHeight="1">
      <c r="B78" s="940"/>
      <c r="C78" s="941"/>
      <c r="D78" s="768"/>
      <c r="E78" s="802" t="s">
        <v>1546</v>
      </c>
      <c r="F78" s="769" t="str">
        <f>Languages!$N$178</f>
        <v>Unit type</v>
      </c>
      <c r="G78" s="769" t="s">
        <v>2122</v>
      </c>
      <c r="H78" s="769" t="s">
        <v>2132</v>
      </c>
      <c r="I78" s="331" t="s">
        <v>2117</v>
      </c>
      <c r="J78" s="771" t="str">
        <f>Languages!$K$178</f>
        <v>Actions</v>
      </c>
      <c r="K78" s="772"/>
      <c r="L78" s="945" t="str">
        <f>Languages!$M$176</f>
        <v>Est. repair cost</v>
      </c>
      <c r="M78" s="946"/>
    </row>
    <row r="79" spans="2:29" ht="29" customHeight="1" thickBot="1">
      <c r="B79" s="940"/>
      <c r="C79" s="941"/>
      <c r="D79" s="768"/>
      <c r="E79" s="803"/>
      <c r="F79" s="770"/>
      <c r="G79" s="770"/>
      <c r="H79" s="770"/>
      <c r="I79" s="330" t="str">
        <f>Languages!$E$190</f>
        <v>Social Impact level</v>
      </c>
      <c r="J79" s="492" t="str">
        <f>Languages!$K$185</f>
        <v>Action required</v>
      </c>
      <c r="K79" s="504" t="str">
        <f>Languages!$G$193</f>
        <v>Priority 
1 - 5</v>
      </c>
      <c r="L79" s="493" t="str">
        <f>Languages!$M$177</f>
        <v>Total m. Euro</v>
      </c>
      <c r="M79" s="494" t="str">
        <f>Languages!$M$178&amp;" per m2"</f>
        <v>Est. Euro per m2</v>
      </c>
    </row>
    <row r="80" spans="2:29" ht="24" customHeight="1">
      <c r="B80" s="917" t="str">
        <f>Languages!C$275&amp;", 3 fl."</f>
        <v>Long-term care homes (LTC), 3 fl.</v>
      </c>
      <c r="C80" s="918"/>
      <c r="D80" s="579" t="s">
        <v>2178</v>
      </c>
      <c r="E80" s="933">
        <v>10</v>
      </c>
      <c r="F80" s="934"/>
      <c r="G80" s="951" t="str">
        <f>G$13</f>
        <v>Whole Asset or Building</v>
      </c>
      <c r="H80" s="967" t="s">
        <v>2123</v>
      </c>
      <c r="I80" s="501" t="s">
        <v>2103</v>
      </c>
      <c r="J80" s="927" t="s">
        <v>2212</v>
      </c>
      <c r="K80" s="929">
        <f>SUM(K83:K87)/5</f>
        <v>3.6</v>
      </c>
      <c r="L80" s="988">
        <f>SUM(L83:L87)/1000000</f>
        <v>2.88</v>
      </c>
      <c r="M80" s="942" t="str">
        <f>M$13</f>
        <v>million Euro</v>
      </c>
      <c r="Q80"/>
      <c r="R80"/>
      <c r="S80"/>
      <c r="T80"/>
      <c r="U80"/>
    </row>
    <row r="81" spans="2:21" ht="23" customHeight="1" thickBot="1">
      <c r="B81" s="919"/>
      <c r="C81" s="920"/>
      <c r="D81" s="550" t="s">
        <v>1555</v>
      </c>
      <c r="E81" s="944">
        <f>E80*E82</f>
        <v>80000</v>
      </c>
      <c r="F81" s="932"/>
      <c r="G81" s="952"/>
      <c r="H81" s="968"/>
      <c r="I81" s="538" t="s">
        <v>2120</v>
      </c>
      <c r="J81" s="928"/>
      <c r="K81" s="930"/>
      <c r="L81" s="989"/>
      <c r="M81" s="943"/>
      <c r="Q81"/>
      <c r="R81"/>
      <c r="S81"/>
      <c r="T81"/>
      <c r="U81"/>
    </row>
    <row r="82" spans="2:21" ht="25" hidden="1" customHeight="1" outlineLevel="1" thickBot="1">
      <c r="B82" s="915"/>
      <c r="C82" s="916"/>
      <c r="D82" s="507" t="s">
        <v>1554</v>
      </c>
      <c r="E82" s="508">
        <v>8000</v>
      </c>
      <c r="F82" s="496" t="s">
        <v>1528</v>
      </c>
      <c r="G82" s="363" t="str">
        <f>G$15</f>
        <v>Components</v>
      </c>
      <c r="H82" s="330" t="s">
        <v>2250</v>
      </c>
      <c r="I82" s="497" t="s">
        <v>2141</v>
      </c>
      <c r="J82" s="351" t="str">
        <f>Languages!$K$185</f>
        <v>Action required</v>
      </c>
      <c r="K82" s="362"/>
      <c r="L82" s="509" t="s">
        <v>2144</v>
      </c>
      <c r="M82" s="510" t="s">
        <v>2143</v>
      </c>
      <c r="Q82"/>
      <c r="R82"/>
      <c r="S82"/>
      <c r="T82"/>
      <c r="U82"/>
    </row>
    <row r="83" spans="2:21" ht="25" hidden="1" customHeight="1" outlineLevel="1">
      <c r="B83" s="953"/>
      <c r="C83" s="954"/>
      <c r="D83" s="954"/>
      <c r="E83" s="954"/>
      <c r="F83" s="955"/>
      <c r="G83" s="238" t="s">
        <v>2034</v>
      </c>
      <c r="H83" s="195" t="s">
        <v>2124</v>
      </c>
      <c r="I83" s="976"/>
      <c r="J83" s="308" t="s">
        <v>1449</v>
      </c>
      <c r="K83" s="309">
        <v>4</v>
      </c>
      <c r="L83" s="491">
        <f>E$80*E$82*M83</f>
        <v>400000</v>
      </c>
      <c r="M83" s="335">
        <v>5</v>
      </c>
      <c r="Q83"/>
      <c r="R83"/>
      <c r="S83"/>
      <c r="T83"/>
      <c r="U83"/>
    </row>
    <row r="84" spans="2:21" ht="25" hidden="1" customHeight="1" outlineLevel="1">
      <c r="B84" s="953"/>
      <c r="C84" s="954"/>
      <c r="D84" s="954"/>
      <c r="E84" s="954"/>
      <c r="F84" s="955"/>
      <c r="G84" s="238" t="s">
        <v>1543</v>
      </c>
      <c r="H84" s="195" t="s">
        <v>2125</v>
      </c>
      <c r="I84" s="977"/>
      <c r="J84" s="308" t="s">
        <v>1473</v>
      </c>
      <c r="K84" s="309">
        <v>3</v>
      </c>
      <c r="L84" s="390">
        <f t="shared" ref="L84:L85" si="5">E$80*E$82*M84</f>
        <v>240000</v>
      </c>
      <c r="M84" s="335">
        <v>3</v>
      </c>
      <c r="Q84"/>
      <c r="R84"/>
      <c r="S84"/>
      <c r="T84"/>
      <c r="U84"/>
    </row>
    <row r="85" spans="2:21" ht="25" hidden="1" customHeight="1" outlineLevel="1">
      <c r="B85" s="953"/>
      <c r="C85" s="954"/>
      <c r="D85" s="954"/>
      <c r="E85" s="954"/>
      <c r="F85" s="955"/>
      <c r="G85" s="238" t="s">
        <v>1540</v>
      </c>
      <c r="H85" s="195" t="s">
        <v>2124</v>
      </c>
      <c r="I85" s="977"/>
      <c r="J85" s="308" t="s">
        <v>1473</v>
      </c>
      <c r="K85" s="309">
        <v>3</v>
      </c>
      <c r="L85" s="390">
        <f t="shared" si="5"/>
        <v>240000</v>
      </c>
      <c r="M85" s="335">
        <v>3</v>
      </c>
      <c r="Q85"/>
      <c r="R85"/>
      <c r="S85"/>
      <c r="T85"/>
      <c r="U85"/>
    </row>
    <row r="86" spans="2:21" ht="25" hidden="1" customHeight="1" outlineLevel="1">
      <c r="B86" s="978" t="s">
        <v>2160</v>
      </c>
      <c r="C86" s="979"/>
      <c r="D86" s="979"/>
      <c r="E86" s="979"/>
      <c r="F86" s="980"/>
      <c r="G86" s="238" t="s">
        <v>1541</v>
      </c>
      <c r="H86" s="195" t="s">
        <v>2123</v>
      </c>
      <c r="I86" s="406" t="s">
        <v>2159</v>
      </c>
      <c r="J86" s="308" t="s">
        <v>1446</v>
      </c>
      <c r="K86" s="309">
        <v>5</v>
      </c>
      <c r="L86" s="390">
        <f>E$80*M86</f>
        <v>2000000</v>
      </c>
      <c r="M86" s="463">
        <v>200000</v>
      </c>
      <c r="Q86"/>
      <c r="R86"/>
      <c r="S86"/>
      <c r="T86"/>
      <c r="U86"/>
    </row>
    <row r="87" spans="2:21" ht="25" hidden="1" customHeight="1" outlineLevel="1" thickBot="1">
      <c r="B87" s="814" t="s">
        <v>1990</v>
      </c>
      <c r="C87" s="815"/>
      <c r="D87" s="815"/>
      <c r="E87" s="815"/>
      <c r="F87" s="816"/>
      <c r="G87" s="482"/>
      <c r="H87" s="505"/>
      <c r="I87" s="405"/>
      <c r="J87" s="312" t="s">
        <v>1449</v>
      </c>
      <c r="K87" s="309">
        <v>3</v>
      </c>
      <c r="L87" s="502">
        <f>E$80*E$82*M87</f>
        <v>0</v>
      </c>
      <c r="M87" s="401">
        <v>0</v>
      </c>
      <c r="Q87"/>
      <c r="R87"/>
      <c r="S87"/>
      <c r="T87"/>
      <c r="U87"/>
    </row>
    <row r="88" spans="2:21" ht="24" customHeight="1" collapsed="1">
      <c r="B88" s="917" t="str">
        <f>Languages!C$276&amp;", 3 floors"</f>
        <v>Nursing homes, 3 floors</v>
      </c>
      <c r="C88" s="918"/>
      <c r="D88" s="579" t="s">
        <v>2178</v>
      </c>
      <c r="E88" s="933">
        <v>5</v>
      </c>
      <c r="F88" s="934"/>
      <c r="G88" s="951" t="str">
        <f>G$13</f>
        <v>Whole Asset or Building</v>
      </c>
      <c r="H88" s="967" t="s">
        <v>2123</v>
      </c>
      <c r="I88" s="501" t="s">
        <v>2103</v>
      </c>
      <c r="J88" s="927" t="s">
        <v>2212</v>
      </c>
      <c r="K88" s="929">
        <f>SUM(K91:K96)/6</f>
        <v>3.1666666666666665</v>
      </c>
      <c r="L88" s="988">
        <f>SUM(L91:L96)/1000000</f>
        <v>1.92</v>
      </c>
      <c r="M88" s="942" t="str">
        <f>M$13</f>
        <v>million Euro</v>
      </c>
      <c r="Q88"/>
      <c r="R88"/>
      <c r="S88"/>
      <c r="T88"/>
      <c r="U88"/>
    </row>
    <row r="89" spans="2:21" ht="21" customHeight="1" thickBot="1">
      <c r="B89" s="919"/>
      <c r="C89" s="920"/>
      <c r="D89" s="550" t="s">
        <v>1555</v>
      </c>
      <c r="E89" s="944">
        <f>E88*E90</f>
        <v>15000</v>
      </c>
      <c r="F89" s="932"/>
      <c r="G89" s="952"/>
      <c r="H89" s="968"/>
      <c r="I89" s="538" t="s">
        <v>2120</v>
      </c>
      <c r="J89" s="928"/>
      <c r="K89" s="930"/>
      <c r="L89" s="989"/>
      <c r="M89" s="943"/>
      <c r="Q89"/>
      <c r="R89"/>
      <c r="S89"/>
      <c r="T89"/>
      <c r="U89"/>
    </row>
    <row r="90" spans="2:21" ht="25" hidden="1" customHeight="1" outlineLevel="1">
      <c r="B90" s="915"/>
      <c r="C90" s="916"/>
      <c r="D90" s="507" t="s">
        <v>1554</v>
      </c>
      <c r="E90" s="508">
        <v>3000</v>
      </c>
      <c r="F90" s="496" t="s">
        <v>1528</v>
      </c>
      <c r="G90" s="363" t="str">
        <f>G$15</f>
        <v>Components</v>
      </c>
      <c r="H90" s="330" t="s">
        <v>2250</v>
      </c>
      <c r="I90" s="497" t="s">
        <v>2141</v>
      </c>
      <c r="J90" s="351" t="str">
        <f>Languages!$K$185</f>
        <v>Action required</v>
      </c>
      <c r="K90" s="362"/>
      <c r="L90" s="498" t="s">
        <v>2144</v>
      </c>
      <c r="M90" s="499" t="s">
        <v>2143</v>
      </c>
      <c r="Q90"/>
      <c r="R90"/>
      <c r="S90"/>
      <c r="T90"/>
      <c r="U90"/>
    </row>
    <row r="91" spans="2:21" ht="25" hidden="1" customHeight="1" outlineLevel="1">
      <c r="B91" s="953"/>
      <c r="C91" s="954"/>
      <c r="D91" s="954"/>
      <c r="E91" s="954"/>
      <c r="F91" s="955"/>
      <c r="G91" s="238" t="s">
        <v>2034</v>
      </c>
      <c r="H91" s="195" t="s">
        <v>2124</v>
      </c>
      <c r="I91" s="976"/>
      <c r="J91" s="308" t="s">
        <v>2113</v>
      </c>
      <c r="K91" s="309">
        <v>2</v>
      </c>
      <c r="L91" s="390">
        <f>E$88*E$90*M91</f>
        <v>75000</v>
      </c>
      <c r="M91" s="345">
        <v>5</v>
      </c>
      <c r="Q91"/>
      <c r="R91"/>
      <c r="S91"/>
      <c r="T91"/>
      <c r="U91"/>
    </row>
    <row r="92" spans="2:21" ht="25" hidden="1" customHeight="1" outlineLevel="1">
      <c r="B92" s="953"/>
      <c r="C92" s="954"/>
      <c r="D92" s="954"/>
      <c r="E92" s="954"/>
      <c r="F92" s="955"/>
      <c r="G92" s="238" t="s">
        <v>1543</v>
      </c>
      <c r="H92" s="195" t="s">
        <v>2125</v>
      </c>
      <c r="I92" s="977"/>
      <c r="J92" s="308" t="s">
        <v>1454</v>
      </c>
      <c r="K92" s="309">
        <v>3</v>
      </c>
      <c r="L92" s="390">
        <f t="shared" ref="L92:L94" si="6">E$88*E$90*M92</f>
        <v>120000</v>
      </c>
      <c r="M92" s="335">
        <v>8</v>
      </c>
      <c r="Q92"/>
      <c r="R92"/>
      <c r="S92"/>
      <c r="T92"/>
      <c r="U92"/>
    </row>
    <row r="93" spans="2:21" ht="25" hidden="1" customHeight="1" outlineLevel="1">
      <c r="B93" s="953"/>
      <c r="C93" s="954"/>
      <c r="D93" s="954"/>
      <c r="E93" s="954"/>
      <c r="F93" s="955"/>
      <c r="G93" s="238" t="s">
        <v>1540</v>
      </c>
      <c r="H93" s="195" t="s">
        <v>2124</v>
      </c>
      <c r="I93" s="977"/>
      <c r="J93" s="308" t="s">
        <v>1454</v>
      </c>
      <c r="K93" s="309">
        <v>3</v>
      </c>
      <c r="L93" s="390">
        <f t="shared" si="6"/>
        <v>180000</v>
      </c>
      <c r="M93" s="335">
        <v>12</v>
      </c>
      <c r="Q93"/>
      <c r="R93"/>
      <c r="S93"/>
      <c r="T93"/>
      <c r="U93"/>
    </row>
    <row r="94" spans="2:21" ht="25" hidden="1" customHeight="1" outlineLevel="1">
      <c r="B94" s="953"/>
      <c r="C94" s="954"/>
      <c r="D94" s="954"/>
      <c r="E94" s="954"/>
      <c r="F94" s="955"/>
      <c r="G94" s="238" t="s">
        <v>2038</v>
      </c>
      <c r="H94" s="195" t="s">
        <v>2124</v>
      </c>
      <c r="I94" s="987"/>
      <c r="J94" s="308" t="s">
        <v>1454</v>
      </c>
      <c r="K94" s="309">
        <v>3</v>
      </c>
      <c r="L94" s="390">
        <f t="shared" si="6"/>
        <v>45000</v>
      </c>
      <c r="M94" s="335">
        <v>3</v>
      </c>
      <c r="Q94"/>
      <c r="R94"/>
      <c r="S94"/>
      <c r="T94"/>
      <c r="U94"/>
    </row>
    <row r="95" spans="2:21" ht="25" hidden="1" customHeight="1" outlineLevel="1">
      <c r="B95" s="978" t="s">
        <v>2158</v>
      </c>
      <c r="C95" s="979"/>
      <c r="D95" s="979"/>
      <c r="E95" s="979"/>
      <c r="F95" s="980"/>
      <c r="G95" s="238" t="s">
        <v>1541</v>
      </c>
      <c r="H95" s="195" t="s">
        <v>2124</v>
      </c>
      <c r="I95" s="406" t="s">
        <v>2159</v>
      </c>
      <c r="J95" s="308" t="s">
        <v>1454</v>
      </c>
      <c r="K95" s="309">
        <v>5</v>
      </c>
      <c r="L95" s="403">
        <f>E$88*M95</f>
        <v>1500000</v>
      </c>
      <c r="M95" s="463">
        <v>300000</v>
      </c>
      <c r="Q95"/>
      <c r="R95"/>
      <c r="S95"/>
      <c r="T95"/>
      <c r="U95"/>
    </row>
    <row r="96" spans="2:21" ht="25" hidden="1" customHeight="1" outlineLevel="1" thickBot="1">
      <c r="B96" s="953"/>
      <c r="C96" s="954"/>
      <c r="D96" s="954"/>
      <c r="E96" s="954"/>
      <c r="F96" s="955"/>
      <c r="G96" s="387"/>
      <c r="H96" s="388"/>
      <c r="I96" s="407"/>
      <c r="J96" s="308" t="s">
        <v>1449</v>
      </c>
      <c r="K96" s="311">
        <v>3</v>
      </c>
      <c r="L96" s="390">
        <f>E$88*E$90*M96</f>
        <v>0</v>
      </c>
      <c r="M96" s="386">
        <v>0</v>
      </c>
      <c r="Q96"/>
      <c r="R96"/>
      <c r="S96"/>
      <c r="T96"/>
      <c r="U96"/>
    </row>
    <row r="97" spans="2:29" ht="15" customHeight="1" collapsed="1" thickBot="1">
      <c r="B97" s="163" t="str">
        <f>$B$29</f>
        <v>International Initiative for Sustainable Built Environment</v>
      </c>
      <c r="C97" s="163"/>
      <c r="D97" s="163"/>
      <c r="E97" s="163"/>
      <c r="F97" s="163"/>
      <c r="G97" s="165"/>
      <c r="H97" s="12"/>
      <c r="I97" s="165"/>
      <c r="J97" s="12"/>
      <c r="K97" s="12"/>
      <c r="L97" s="12"/>
      <c r="M97" s="12"/>
    </row>
    <row r="98" spans="2:29" s="4" customFormat="1" ht="28" customHeight="1" thickBot="1">
      <c r="B98" s="765" t="str">
        <f>Settings!$B$9</f>
        <v>Damage Assessments for Sustainable Reconstruction in Ukraine</v>
      </c>
      <c r="C98" s="766"/>
      <c r="D98" s="766"/>
      <c r="E98" s="766"/>
      <c r="F98" s="766"/>
      <c r="G98" s="766"/>
      <c r="H98" s="766"/>
      <c r="I98" s="935" t="str">
        <f>I$2</f>
        <v>Irpin Urban Area</v>
      </c>
      <c r="J98" s="936"/>
      <c r="K98" s="937"/>
      <c r="L98" s="160" t="str">
        <f>L$2</f>
        <v>27Jan23</v>
      </c>
      <c r="M98" s="157">
        <v>6</v>
      </c>
      <c r="N98"/>
      <c r="O98"/>
      <c r="P98"/>
      <c r="Q98" s="2"/>
      <c r="S98" s="10"/>
      <c r="V98"/>
      <c r="W98"/>
      <c r="X98"/>
      <c r="Y98"/>
      <c r="Z98"/>
      <c r="AA98"/>
      <c r="AB98"/>
      <c r="AC98"/>
    </row>
    <row r="99" spans="2:29" s="4" customFormat="1" ht="27" customHeight="1">
      <c r="B99" s="938" t="str">
        <f>Languages!$C$189&amp;" 2"</f>
        <v>Health facilities 2</v>
      </c>
      <c r="C99" s="939"/>
      <c r="D99" s="787" t="str">
        <f>Languages!$N$176</f>
        <v>Information on main asset &amp; sub-assets</v>
      </c>
      <c r="E99" s="788" t="str">
        <f>Languages!$I$188</f>
        <v>Area and/or quantity assessed</v>
      </c>
      <c r="F99" s="789"/>
      <c r="G99" s="792" t="str">
        <f>Languages!$M$194</f>
        <v>Enter info on type and area / quantity of assets, type and extent of damage.</v>
      </c>
      <c r="H99" s="793"/>
      <c r="I99" s="796" t="s">
        <v>2118</v>
      </c>
      <c r="J99" s="798" t="str">
        <f>Languages!$K$177</f>
        <v>Approx. repair costs, priority 4 &amp; 5 assets, m. Euro</v>
      </c>
      <c r="K99" s="799"/>
      <c r="L99" s="389">
        <f>IF(K103&gt;3,L103)+IF(K111&gt;3,L111)</f>
        <v>3.0550000000000002</v>
      </c>
      <c r="M99" s="259" t="s">
        <v>1966</v>
      </c>
      <c r="N99"/>
      <c r="O99"/>
      <c r="P99"/>
      <c r="Q99" s="2"/>
      <c r="R99"/>
      <c r="S99"/>
      <c r="V99"/>
      <c r="W99"/>
      <c r="X99"/>
      <c r="Y99"/>
      <c r="Z99"/>
      <c r="AA99"/>
      <c r="AB99"/>
      <c r="AC99"/>
    </row>
    <row r="100" spans="2:29" ht="27" customHeight="1">
      <c r="B100" s="940"/>
      <c r="C100" s="941"/>
      <c r="D100" s="768"/>
      <c r="E100" s="790"/>
      <c r="F100" s="791"/>
      <c r="G100" s="794"/>
      <c r="H100" s="795"/>
      <c r="I100" s="797"/>
      <c r="J100" s="852" t="str">
        <f>Languages!$K$176</f>
        <v>Approx. total repair costs, m. Euro</v>
      </c>
      <c r="K100" s="853"/>
      <c r="L100" s="264">
        <f>(L103+L111)</f>
        <v>3.0550000000000002</v>
      </c>
      <c r="M100" s="260" t="s">
        <v>1966</v>
      </c>
    </row>
    <row r="101" spans="2:29" ht="19" customHeight="1">
      <c r="B101" s="940"/>
      <c r="C101" s="941"/>
      <c r="D101" s="768"/>
      <c r="E101" s="802" t="s">
        <v>1546</v>
      </c>
      <c r="F101" s="769" t="str">
        <f>Languages!$N$178</f>
        <v>Unit type</v>
      </c>
      <c r="G101" s="769" t="s">
        <v>2122</v>
      </c>
      <c r="H101" s="769" t="s">
        <v>2132</v>
      </c>
      <c r="I101" s="331" t="s">
        <v>2117</v>
      </c>
      <c r="J101" s="771" t="str">
        <f>Languages!$K$178</f>
        <v>Actions</v>
      </c>
      <c r="K101" s="772"/>
      <c r="L101" s="945" t="str">
        <f>Languages!$M$176</f>
        <v>Est. repair cost</v>
      </c>
      <c r="M101" s="946"/>
    </row>
    <row r="102" spans="2:29" ht="29" customHeight="1" thickBot="1">
      <c r="B102" s="940"/>
      <c r="C102" s="941"/>
      <c r="D102" s="768"/>
      <c r="E102" s="803"/>
      <c r="F102" s="770"/>
      <c r="G102" s="770"/>
      <c r="H102" s="770"/>
      <c r="I102" s="330" t="str">
        <f>Languages!$E$190</f>
        <v>Social Impact level</v>
      </c>
      <c r="J102" s="492" t="str">
        <f>Languages!$K$185</f>
        <v>Action required</v>
      </c>
      <c r="K102" s="504" t="str">
        <f>Languages!$G$193</f>
        <v>Priority 
1 - 5</v>
      </c>
      <c r="L102" s="493" t="str">
        <f>Languages!$M$177</f>
        <v>Total m. Euro</v>
      </c>
      <c r="M102" s="494" t="str">
        <f>Languages!$M$178&amp;" per m2"</f>
        <v>Est. Euro per m2</v>
      </c>
    </row>
    <row r="103" spans="2:29" ht="24" customHeight="1">
      <c r="B103" s="917" t="s">
        <v>2155</v>
      </c>
      <c r="C103" s="918"/>
      <c r="D103" s="579" t="s">
        <v>2178</v>
      </c>
      <c r="E103" s="933">
        <v>10</v>
      </c>
      <c r="F103" s="934"/>
      <c r="G103" s="951" t="str">
        <f>G$13</f>
        <v>Whole Asset or Building</v>
      </c>
      <c r="H103" s="967" t="s">
        <v>2124</v>
      </c>
      <c r="I103" s="501" t="s">
        <v>2103</v>
      </c>
      <c r="J103" s="927" t="s">
        <v>2212</v>
      </c>
      <c r="K103" s="929">
        <f>SUM(K106:K110)/5</f>
        <v>3.2</v>
      </c>
      <c r="L103" s="947">
        <f>SUM(L106:L110)/1000000</f>
        <v>0.25</v>
      </c>
      <c r="M103" s="942" t="str">
        <f>M$13</f>
        <v>million Euro</v>
      </c>
      <c r="Q103"/>
      <c r="R103"/>
      <c r="S103"/>
      <c r="T103"/>
      <c r="U103"/>
    </row>
    <row r="104" spans="2:29" ht="23" customHeight="1" thickBot="1">
      <c r="B104" s="919"/>
      <c r="C104" s="920"/>
      <c r="D104" s="550" t="s">
        <v>1555</v>
      </c>
      <c r="E104" s="944">
        <f>E103*E105</f>
        <v>10000</v>
      </c>
      <c r="F104" s="932"/>
      <c r="G104" s="952"/>
      <c r="H104" s="968"/>
      <c r="I104" s="538" t="s">
        <v>2120</v>
      </c>
      <c r="J104" s="928"/>
      <c r="K104" s="930"/>
      <c r="L104" s="948"/>
      <c r="M104" s="943"/>
      <c r="Q104"/>
      <c r="R104"/>
      <c r="S104"/>
      <c r="T104"/>
      <c r="U104"/>
    </row>
    <row r="105" spans="2:29" ht="25" hidden="1" customHeight="1" outlineLevel="1" thickBot="1">
      <c r="B105" s="915"/>
      <c r="C105" s="916"/>
      <c r="D105" s="507" t="s">
        <v>1554</v>
      </c>
      <c r="E105" s="508">
        <v>1000</v>
      </c>
      <c r="F105" s="496" t="s">
        <v>1528</v>
      </c>
      <c r="G105" s="363" t="str">
        <f>G$15</f>
        <v>Components</v>
      </c>
      <c r="H105" s="330" t="s">
        <v>2250</v>
      </c>
      <c r="I105" s="497" t="s">
        <v>2141</v>
      </c>
      <c r="J105" s="351" t="str">
        <f>Languages!$K$185</f>
        <v>Action required</v>
      </c>
      <c r="K105" s="362"/>
      <c r="L105" s="509" t="s">
        <v>2144</v>
      </c>
      <c r="M105" s="510" t="s">
        <v>2143</v>
      </c>
      <c r="Q105"/>
      <c r="R105"/>
      <c r="S105"/>
      <c r="T105"/>
      <c r="U105"/>
    </row>
    <row r="106" spans="2:29" ht="25" hidden="1" customHeight="1" outlineLevel="1">
      <c r="B106" s="953"/>
      <c r="C106" s="954"/>
      <c r="D106" s="954"/>
      <c r="E106" s="954"/>
      <c r="F106" s="955"/>
      <c r="G106" s="238" t="s">
        <v>2034</v>
      </c>
      <c r="H106" s="195" t="s">
        <v>2124</v>
      </c>
      <c r="I106" s="976"/>
      <c r="J106" s="308" t="s">
        <v>1449</v>
      </c>
      <c r="K106" s="309">
        <v>4</v>
      </c>
      <c r="L106" s="491">
        <f>E$103*E$105*M106</f>
        <v>50000</v>
      </c>
      <c r="M106" s="335">
        <v>5</v>
      </c>
      <c r="Q106"/>
      <c r="R106"/>
      <c r="S106"/>
      <c r="T106"/>
      <c r="U106"/>
    </row>
    <row r="107" spans="2:29" ht="25" hidden="1" customHeight="1" outlineLevel="1">
      <c r="B107" s="953"/>
      <c r="C107" s="954"/>
      <c r="D107" s="954"/>
      <c r="E107" s="954"/>
      <c r="F107" s="955"/>
      <c r="G107" s="238" t="s">
        <v>1983</v>
      </c>
      <c r="H107" s="195" t="s">
        <v>2124</v>
      </c>
      <c r="I107" s="977"/>
      <c r="J107" s="308" t="s">
        <v>1473</v>
      </c>
      <c r="K107" s="309">
        <v>3</v>
      </c>
      <c r="L107" s="390">
        <f t="shared" ref="L107:L110" si="7">E$103*E$105*M107</f>
        <v>30000</v>
      </c>
      <c r="M107" s="335">
        <v>3</v>
      </c>
      <c r="Q107"/>
      <c r="R107"/>
      <c r="S107"/>
      <c r="T107"/>
      <c r="U107"/>
    </row>
    <row r="108" spans="2:29" ht="25" hidden="1" customHeight="1" outlineLevel="1">
      <c r="B108" s="953" t="s">
        <v>2169</v>
      </c>
      <c r="C108" s="954"/>
      <c r="D108" s="954"/>
      <c r="E108" s="954"/>
      <c r="F108" s="955"/>
      <c r="G108" s="238" t="s">
        <v>1543</v>
      </c>
      <c r="H108" s="195" t="s">
        <v>2127</v>
      </c>
      <c r="I108" s="977"/>
      <c r="J108" s="308" t="s">
        <v>1449</v>
      </c>
      <c r="K108" s="310">
        <v>3</v>
      </c>
      <c r="L108" s="390">
        <f t="shared" si="7"/>
        <v>110000</v>
      </c>
      <c r="M108" s="345">
        <v>11</v>
      </c>
      <c r="Q108"/>
      <c r="R108"/>
      <c r="S108"/>
      <c r="T108"/>
      <c r="U108"/>
    </row>
    <row r="109" spans="2:29" ht="25" hidden="1" customHeight="1" outlineLevel="1">
      <c r="B109" s="953"/>
      <c r="C109" s="954"/>
      <c r="D109" s="954"/>
      <c r="E109" s="954"/>
      <c r="F109" s="955"/>
      <c r="G109" s="238" t="s">
        <v>1540</v>
      </c>
      <c r="H109" s="195" t="s">
        <v>2124</v>
      </c>
      <c r="I109" s="977"/>
      <c r="J109" s="308" t="s">
        <v>1473</v>
      </c>
      <c r="K109" s="400">
        <v>3</v>
      </c>
      <c r="L109" s="390">
        <f t="shared" si="7"/>
        <v>30000</v>
      </c>
      <c r="M109" s="335">
        <v>3</v>
      </c>
      <c r="Q109"/>
      <c r="R109"/>
      <c r="S109"/>
      <c r="T109"/>
      <c r="U109"/>
    </row>
    <row r="110" spans="2:29" ht="25" hidden="1" customHeight="1" outlineLevel="1" thickBot="1">
      <c r="B110" s="953"/>
      <c r="C110" s="954"/>
      <c r="D110" s="954"/>
      <c r="E110" s="954"/>
      <c r="F110" s="955"/>
      <c r="G110" s="506" t="s">
        <v>2149</v>
      </c>
      <c r="H110" s="385" t="s">
        <v>2124</v>
      </c>
      <c r="I110" s="977"/>
      <c r="J110" s="312" t="s">
        <v>1449</v>
      </c>
      <c r="K110" s="309">
        <v>3</v>
      </c>
      <c r="L110" s="502">
        <f t="shared" si="7"/>
        <v>30000</v>
      </c>
      <c r="M110" s="356">
        <v>3</v>
      </c>
      <c r="Q110"/>
      <c r="R110"/>
      <c r="S110"/>
      <c r="T110"/>
      <c r="U110"/>
    </row>
    <row r="111" spans="2:29" ht="24" customHeight="1" collapsed="1">
      <c r="B111" s="917" t="s">
        <v>2156</v>
      </c>
      <c r="C111" s="918"/>
      <c r="D111" s="579" t="s">
        <v>2178</v>
      </c>
      <c r="E111" s="933">
        <v>5</v>
      </c>
      <c r="F111" s="934"/>
      <c r="G111" s="951" t="str">
        <f>G$13</f>
        <v>Whole Asset or Building</v>
      </c>
      <c r="H111" s="967" t="s">
        <v>2124</v>
      </c>
      <c r="I111" s="501" t="s">
        <v>2103</v>
      </c>
      <c r="J111" s="927" t="s">
        <v>2212</v>
      </c>
      <c r="K111" s="929">
        <f>SUM(K114:K119)/6</f>
        <v>3.1666666666666665</v>
      </c>
      <c r="L111" s="947">
        <f>SUM(L114:L119)/1000000</f>
        <v>2.8050000000000002</v>
      </c>
      <c r="M111" s="942" t="str">
        <f>M$13</f>
        <v>million Euro</v>
      </c>
      <c r="Q111"/>
      <c r="R111"/>
      <c r="S111"/>
      <c r="T111"/>
      <c r="U111"/>
    </row>
    <row r="112" spans="2:29" ht="21" customHeight="1" thickBot="1">
      <c r="B112" s="919"/>
      <c r="C112" s="920"/>
      <c r="D112" s="550" t="s">
        <v>1555</v>
      </c>
      <c r="E112" s="944">
        <f>E111*E113</f>
        <v>22500</v>
      </c>
      <c r="F112" s="932"/>
      <c r="G112" s="952"/>
      <c r="H112" s="968"/>
      <c r="I112" s="538" t="s">
        <v>2120</v>
      </c>
      <c r="J112" s="928"/>
      <c r="K112" s="930"/>
      <c r="L112" s="948"/>
      <c r="M112" s="943"/>
      <c r="Q112"/>
      <c r="R112"/>
      <c r="S112"/>
      <c r="T112"/>
      <c r="U112"/>
    </row>
    <row r="113" spans="2:29" ht="25" hidden="1" customHeight="1" outlineLevel="1">
      <c r="B113" s="915"/>
      <c r="C113" s="916"/>
      <c r="D113" s="507" t="s">
        <v>1554</v>
      </c>
      <c r="E113" s="508">
        <v>4500</v>
      </c>
      <c r="F113" s="496" t="s">
        <v>1528</v>
      </c>
      <c r="G113" s="363" t="str">
        <f>G$15</f>
        <v>Components</v>
      </c>
      <c r="H113" s="330" t="s">
        <v>2250</v>
      </c>
      <c r="I113" s="497" t="s">
        <v>2141</v>
      </c>
      <c r="J113" s="351" t="str">
        <f>Languages!$K$185</f>
        <v>Action required</v>
      </c>
      <c r="K113" s="362"/>
      <c r="L113" s="498" t="s">
        <v>2144</v>
      </c>
      <c r="M113" s="499" t="s">
        <v>2143</v>
      </c>
      <c r="Q113"/>
      <c r="R113"/>
      <c r="S113"/>
      <c r="T113"/>
      <c r="U113"/>
    </row>
    <row r="114" spans="2:29" ht="25" hidden="1" customHeight="1" outlineLevel="1">
      <c r="B114" s="953"/>
      <c r="C114" s="954"/>
      <c r="D114" s="954"/>
      <c r="E114" s="954"/>
      <c r="F114" s="955"/>
      <c r="G114" s="238" t="s">
        <v>1543</v>
      </c>
      <c r="H114" s="195" t="s">
        <v>2124</v>
      </c>
      <c r="I114" s="976"/>
      <c r="J114" s="308" t="s">
        <v>2113</v>
      </c>
      <c r="K114" s="309">
        <v>2</v>
      </c>
      <c r="L114" s="390">
        <f>E$111*E$113*M114</f>
        <v>112500</v>
      </c>
      <c r="M114" s="345">
        <v>5</v>
      </c>
      <c r="Q114"/>
      <c r="R114"/>
      <c r="S114"/>
      <c r="T114"/>
      <c r="U114"/>
    </row>
    <row r="115" spans="2:29" ht="25" hidden="1" customHeight="1" outlineLevel="1">
      <c r="B115" s="953" t="s">
        <v>2170</v>
      </c>
      <c r="C115" s="954"/>
      <c r="D115" s="954"/>
      <c r="E115" s="954"/>
      <c r="F115" s="955"/>
      <c r="G115" s="238" t="s">
        <v>1540</v>
      </c>
      <c r="H115" s="195" t="s">
        <v>2125</v>
      </c>
      <c r="I115" s="977"/>
      <c r="J115" s="308" t="s">
        <v>1454</v>
      </c>
      <c r="K115" s="309">
        <v>5</v>
      </c>
      <c r="L115" s="390">
        <f t="shared" ref="L115:L116" si="8">E$111*E$113*M115</f>
        <v>1012500</v>
      </c>
      <c r="M115" s="335">
        <v>45</v>
      </c>
      <c r="Q115"/>
      <c r="R115"/>
      <c r="S115"/>
      <c r="T115"/>
      <c r="U115"/>
    </row>
    <row r="116" spans="2:29" ht="25" hidden="1" customHeight="1" outlineLevel="1">
      <c r="B116" s="953"/>
      <c r="C116" s="954"/>
      <c r="D116" s="954"/>
      <c r="E116" s="954"/>
      <c r="F116" s="955"/>
      <c r="G116" s="238" t="s">
        <v>1623</v>
      </c>
      <c r="H116" s="195" t="s">
        <v>2124</v>
      </c>
      <c r="I116" s="987"/>
      <c r="J116" s="308" t="s">
        <v>1449</v>
      </c>
      <c r="K116" s="310">
        <v>3</v>
      </c>
      <c r="L116" s="390">
        <f t="shared" si="8"/>
        <v>180000</v>
      </c>
      <c r="M116" s="345">
        <v>8</v>
      </c>
      <c r="Q116"/>
      <c r="R116"/>
      <c r="S116"/>
      <c r="T116"/>
      <c r="U116"/>
    </row>
    <row r="117" spans="2:29" ht="25" hidden="1" customHeight="1" outlineLevel="1">
      <c r="B117" s="1000" t="s">
        <v>2158</v>
      </c>
      <c r="C117" s="1001"/>
      <c r="D117" s="1001"/>
      <c r="E117" s="1001"/>
      <c r="F117" s="1002"/>
      <c r="G117" s="238" t="s">
        <v>1541</v>
      </c>
      <c r="H117" s="195" t="s">
        <v>2124</v>
      </c>
      <c r="I117" s="406" t="s">
        <v>2159</v>
      </c>
      <c r="J117" s="308" t="s">
        <v>1473</v>
      </c>
      <c r="K117" s="400">
        <v>3</v>
      </c>
      <c r="L117" s="403">
        <f>E$111*300000</f>
        <v>1500000</v>
      </c>
      <c r="M117" s="432"/>
      <c r="Q117"/>
      <c r="R117"/>
      <c r="S117"/>
      <c r="T117"/>
      <c r="U117"/>
    </row>
    <row r="118" spans="2:29" ht="25" hidden="1" customHeight="1" outlineLevel="1">
      <c r="B118" s="953"/>
      <c r="C118" s="954"/>
      <c r="D118" s="954"/>
      <c r="E118" s="954"/>
      <c r="F118" s="955"/>
      <c r="G118" s="429" t="s">
        <v>2171</v>
      </c>
      <c r="H118" s="195" t="s">
        <v>2124</v>
      </c>
      <c r="I118" s="976"/>
      <c r="J118" s="308"/>
      <c r="K118" s="310">
        <v>3</v>
      </c>
      <c r="L118" s="390">
        <f t="shared" ref="L118:L119" si="9">E$111*E$113*M118</f>
        <v>0</v>
      </c>
      <c r="M118" s="345">
        <v>0</v>
      </c>
      <c r="Q118"/>
      <c r="R118"/>
      <c r="S118"/>
      <c r="T118"/>
      <c r="U118"/>
    </row>
    <row r="119" spans="2:29" ht="25" hidden="1" customHeight="1" outlineLevel="1" thickBot="1">
      <c r="B119" s="953"/>
      <c r="C119" s="954"/>
      <c r="D119" s="954"/>
      <c r="E119" s="954"/>
      <c r="F119" s="955"/>
      <c r="G119" s="430" t="s">
        <v>2149</v>
      </c>
      <c r="H119" s="195" t="s">
        <v>2124</v>
      </c>
      <c r="I119" s="999"/>
      <c r="J119" s="308"/>
      <c r="K119" s="314">
        <v>3</v>
      </c>
      <c r="L119" s="390">
        <f t="shared" si="9"/>
        <v>0</v>
      </c>
      <c r="M119" s="386">
        <v>0</v>
      </c>
      <c r="Q119"/>
      <c r="R119"/>
      <c r="S119"/>
      <c r="T119"/>
      <c r="U119"/>
    </row>
    <row r="120" spans="2:29" ht="15" customHeight="1" collapsed="1" thickBot="1">
      <c r="B120" s="163" t="str">
        <f>$B$29</f>
        <v>International Initiative for Sustainable Built Environment</v>
      </c>
      <c r="C120" s="163"/>
      <c r="D120" s="163"/>
      <c r="E120" s="163"/>
      <c r="F120" s="163"/>
      <c r="G120" s="165"/>
      <c r="H120" s="12"/>
      <c r="I120" s="165"/>
      <c r="J120" s="12"/>
      <c r="K120" s="12"/>
      <c r="L120" s="12"/>
      <c r="M120" s="12"/>
    </row>
    <row r="121" spans="2:29" s="4" customFormat="1" ht="28" customHeight="1" thickBot="1">
      <c r="B121" s="765" t="str">
        <f>Settings!$B$9</f>
        <v>Damage Assessments for Sustainable Reconstruction in Ukraine</v>
      </c>
      <c r="C121" s="766"/>
      <c r="D121" s="766"/>
      <c r="E121" s="766"/>
      <c r="F121" s="766"/>
      <c r="G121" s="766"/>
      <c r="H121" s="766"/>
      <c r="I121" s="935" t="str">
        <f>I$2</f>
        <v>Irpin Urban Area</v>
      </c>
      <c r="J121" s="936"/>
      <c r="K121" s="937"/>
      <c r="L121" s="160" t="str">
        <f>L$2</f>
        <v>27Jan23</v>
      </c>
      <c r="M121" s="157">
        <v>7</v>
      </c>
      <c r="N121"/>
      <c r="O121"/>
      <c r="P121"/>
      <c r="Q121" s="2"/>
      <c r="S121" s="10"/>
      <c r="V121"/>
      <c r="W121"/>
      <c r="X121"/>
      <c r="Y121"/>
      <c r="Z121"/>
      <c r="AA121"/>
      <c r="AB121"/>
      <c r="AC121"/>
    </row>
    <row r="122" spans="2:29" s="4" customFormat="1" ht="27" customHeight="1">
      <c r="B122" s="938" t="str">
        <f>Languages!$C$189&amp;" 3"</f>
        <v>Health facilities 3</v>
      </c>
      <c r="C122" s="939"/>
      <c r="D122" s="787" t="str">
        <f>Languages!$N$176</f>
        <v>Information on main asset &amp; sub-assets</v>
      </c>
      <c r="E122" s="788" t="str">
        <f>Languages!$I$188</f>
        <v>Area and/or quantity assessed</v>
      </c>
      <c r="F122" s="789"/>
      <c r="G122" s="792" t="str">
        <f>Languages!$M$194</f>
        <v>Enter info on type and area / quantity of assets, type and extent of damage.</v>
      </c>
      <c r="H122" s="793"/>
      <c r="I122" s="796" t="s">
        <v>2118</v>
      </c>
      <c r="J122" s="798" t="str">
        <f>Languages!$K$177</f>
        <v>Approx. repair costs, priority 4 &amp; 5 assets, m. Euro</v>
      </c>
      <c r="K122" s="799"/>
      <c r="L122" s="389">
        <f>IF(K126&gt;3,L126)</f>
        <v>4.1020000000000003</v>
      </c>
      <c r="M122" s="259" t="s">
        <v>1966</v>
      </c>
      <c r="N122"/>
      <c r="O122"/>
      <c r="P122"/>
      <c r="Q122" s="2"/>
      <c r="R122"/>
      <c r="S122"/>
      <c r="V122"/>
      <c r="W122"/>
      <c r="X122"/>
      <c r="Y122"/>
      <c r="Z122"/>
      <c r="AA122"/>
      <c r="AB122"/>
      <c r="AC122"/>
    </row>
    <row r="123" spans="2:29" ht="27" customHeight="1">
      <c r="B123" s="940"/>
      <c r="C123" s="941"/>
      <c r="D123" s="768"/>
      <c r="E123" s="790"/>
      <c r="F123" s="791"/>
      <c r="G123" s="794"/>
      <c r="H123" s="795"/>
      <c r="I123" s="797"/>
      <c r="J123" s="852" t="str">
        <f>Languages!$K$176</f>
        <v>Approx. total repair costs, m. Euro</v>
      </c>
      <c r="K123" s="853"/>
      <c r="L123" s="264">
        <f>SUM(L129:L142)/1000000</f>
        <v>4.1020000000000003</v>
      </c>
      <c r="M123" s="260" t="s">
        <v>1966</v>
      </c>
    </row>
    <row r="124" spans="2:29" ht="22" customHeight="1">
      <c r="B124" s="940"/>
      <c r="C124" s="941"/>
      <c r="D124" s="768"/>
      <c r="E124" s="802" t="s">
        <v>1546</v>
      </c>
      <c r="F124" s="769" t="str">
        <f>Languages!$N$178</f>
        <v>Unit type</v>
      </c>
      <c r="G124" s="769" t="s">
        <v>2122</v>
      </c>
      <c r="H124" s="769" t="s">
        <v>2132</v>
      </c>
      <c r="I124" s="331" t="s">
        <v>2117</v>
      </c>
      <c r="J124" s="771" t="str">
        <f>Languages!$K$178</f>
        <v>Actions</v>
      </c>
      <c r="K124" s="772"/>
      <c r="L124" s="945" t="str">
        <f>Languages!$M$176</f>
        <v>Est. repair cost</v>
      </c>
      <c r="M124" s="946"/>
    </row>
    <row r="125" spans="2:29" ht="28" customHeight="1" thickBot="1">
      <c r="B125" s="940"/>
      <c r="C125" s="941"/>
      <c r="D125" s="768"/>
      <c r="E125" s="803"/>
      <c r="F125" s="770"/>
      <c r="G125" s="770"/>
      <c r="H125" s="770"/>
      <c r="I125" s="330" t="str">
        <f>Languages!$E$190</f>
        <v>Social Impact level</v>
      </c>
      <c r="J125" s="492" t="str">
        <f>Languages!$K$185</f>
        <v>Action required</v>
      </c>
      <c r="K125" s="504" t="str">
        <f>Languages!$G$193</f>
        <v>Priority 
1 - 5</v>
      </c>
      <c r="L125" s="493" t="str">
        <f>Languages!$M$177</f>
        <v>Total m. Euro</v>
      </c>
      <c r="M125" s="494" t="str">
        <f>Languages!$M$178&amp;" per m2"</f>
        <v>Est. Euro per m2</v>
      </c>
    </row>
    <row r="126" spans="2:29" ht="24" customHeight="1">
      <c r="B126" s="917" t="str">
        <f>Languages!C$279&amp;", 6 floors"</f>
        <v>Large / specialised hospital, 6 floors</v>
      </c>
      <c r="C126" s="918"/>
      <c r="D126" s="579" t="s">
        <v>2178</v>
      </c>
      <c r="E126" s="933">
        <v>1</v>
      </c>
      <c r="F126" s="934"/>
      <c r="G126" s="951" t="str">
        <f>G$13</f>
        <v>Whole Asset or Building</v>
      </c>
      <c r="H126" s="967" t="s">
        <v>2124</v>
      </c>
      <c r="I126" s="501" t="s">
        <v>2103</v>
      </c>
      <c r="J126" s="927" t="s">
        <v>2212</v>
      </c>
      <c r="K126" s="929">
        <f>SUM(K129:K142)/14</f>
        <v>4.2142857142857144</v>
      </c>
      <c r="L126" s="947">
        <f>SUM(L129:L142)/1000000</f>
        <v>4.1020000000000003</v>
      </c>
      <c r="M126" s="990" t="str">
        <f>M$13</f>
        <v>million Euro</v>
      </c>
      <c r="Q126"/>
      <c r="R126"/>
      <c r="S126"/>
      <c r="T126"/>
      <c r="U126"/>
    </row>
    <row r="127" spans="2:29" ht="23" customHeight="1" thickBot="1">
      <c r="B127" s="919"/>
      <c r="C127" s="920"/>
      <c r="D127" s="550" t="s">
        <v>1555</v>
      </c>
      <c r="E127" s="944">
        <f>E126*E128</f>
        <v>18000</v>
      </c>
      <c r="F127" s="932"/>
      <c r="G127" s="952"/>
      <c r="H127" s="968"/>
      <c r="I127" s="538" t="s">
        <v>2120</v>
      </c>
      <c r="J127" s="928"/>
      <c r="K127" s="930"/>
      <c r="L127" s="948"/>
      <c r="M127" s="991"/>
      <c r="Q127"/>
      <c r="R127"/>
      <c r="S127"/>
      <c r="T127"/>
      <c r="U127"/>
    </row>
    <row r="128" spans="2:29" ht="25" hidden="1" customHeight="1" outlineLevel="1">
      <c r="B128" s="915"/>
      <c r="C128" s="916"/>
      <c r="D128" s="423" t="s">
        <v>2142</v>
      </c>
      <c r="E128" s="337">
        <v>18000</v>
      </c>
      <c r="F128" s="171" t="s">
        <v>1528</v>
      </c>
      <c r="G128" s="363" t="str">
        <f>G$15</f>
        <v>Components</v>
      </c>
      <c r="H128" s="330" t="s">
        <v>2250</v>
      </c>
      <c r="I128" s="497" t="s">
        <v>2141</v>
      </c>
      <c r="J128" s="351" t="str">
        <f>Languages!$K$185</f>
        <v>Action required</v>
      </c>
      <c r="K128" s="362"/>
      <c r="L128" s="498" t="s">
        <v>2144</v>
      </c>
      <c r="M128" s="499" t="s">
        <v>2143</v>
      </c>
      <c r="Q128"/>
      <c r="R128"/>
      <c r="S128"/>
      <c r="T128"/>
      <c r="U128"/>
    </row>
    <row r="129" spans="2:29" ht="25" hidden="1" customHeight="1" outlineLevel="1">
      <c r="B129" s="726"/>
      <c r="C129" s="727"/>
      <c r="D129" s="724"/>
      <c r="E129" s="724"/>
      <c r="F129" s="725"/>
      <c r="G129" s="238" t="s">
        <v>2034</v>
      </c>
      <c r="H129" s="195" t="s">
        <v>2124</v>
      </c>
      <c r="I129" s="976"/>
      <c r="J129" s="308" t="s">
        <v>1454</v>
      </c>
      <c r="K129" s="309">
        <v>4</v>
      </c>
      <c r="L129" s="393">
        <f>E$126*E$128*M129</f>
        <v>198000</v>
      </c>
      <c r="M129" s="345">
        <v>11</v>
      </c>
      <c r="Q129"/>
      <c r="R129"/>
      <c r="S129"/>
      <c r="T129"/>
      <c r="U129"/>
    </row>
    <row r="130" spans="2:29" ht="25" hidden="1" customHeight="1" outlineLevel="1">
      <c r="B130" s="726"/>
      <c r="C130" s="727"/>
      <c r="D130" s="727"/>
      <c r="E130" s="727"/>
      <c r="F130" s="728"/>
      <c r="G130" s="238" t="s">
        <v>1983</v>
      </c>
      <c r="H130" s="195" t="s">
        <v>2125</v>
      </c>
      <c r="I130" s="977"/>
      <c r="J130" s="308" t="s">
        <v>1473</v>
      </c>
      <c r="K130" s="309">
        <v>3</v>
      </c>
      <c r="L130" s="393">
        <f t="shared" ref="L130:L137" si="10">E$126*E$128*M130</f>
        <v>270000</v>
      </c>
      <c r="M130" s="335">
        <v>15</v>
      </c>
      <c r="Q130"/>
      <c r="R130"/>
      <c r="S130"/>
      <c r="T130"/>
      <c r="U130"/>
    </row>
    <row r="131" spans="2:29" ht="25" hidden="1" customHeight="1" outlineLevel="1">
      <c r="B131" s="953" t="s">
        <v>2170</v>
      </c>
      <c r="C131" s="954"/>
      <c r="D131" s="954"/>
      <c r="E131" s="954"/>
      <c r="F131" s="955"/>
      <c r="G131" s="238" t="s">
        <v>1543</v>
      </c>
      <c r="H131" s="195" t="s">
        <v>2127</v>
      </c>
      <c r="I131" s="977"/>
      <c r="J131" s="308" t="s">
        <v>1473</v>
      </c>
      <c r="K131" s="310">
        <v>5</v>
      </c>
      <c r="L131" s="393">
        <f t="shared" si="10"/>
        <v>324000</v>
      </c>
      <c r="M131" s="345">
        <v>18</v>
      </c>
      <c r="Q131"/>
      <c r="R131"/>
      <c r="S131"/>
      <c r="T131"/>
      <c r="U131"/>
    </row>
    <row r="132" spans="2:29" ht="25" hidden="1" customHeight="1" outlineLevel="1">
      <c r="B132" s="953" t="s">
        <v>2170</v>
      </c>
      <c r="C132" s="954"/>
      <c r="D132" s="954"/>
      <c r="E132" s="954"/>
      <c r="F132" s="955"/>
      <c r="G132" s="238" t="s">
        <v>1540</v>
      </c>
      <c r="H132" s="195" t="s">
        <v>2124</v>
      </c>
      <c r="I132" s="977"/>
      <c r="J132" s="308" t="s">
        <v>1449</v>
      </c>
      <c r="K132" s="310">
        <v>5</v>
      </c>
      <c r="L132" s="393">
        <f t="shared" si="10"/>
        <v>864000</v>
      </c>
      <c r="M132" s="345">
        <v>48</v>
      </c>
      <c r="Q132"/>
      <c r="R132"/>
      <c r="S132"/>
      <c r="T132"/>
      <c r="U132"/>
    </row>
    <row r="133" spans="2:29" ht="25" hidden="1" customHeight="1" outlineLevel="1">
      <c r="B133" s="953" t="s">
        <v>2170</v>
      </c>
      <c r="C133" s="954"/>
      <c r="D133" s="954"/>
      <c r="E133" s="954"/>
      <c r="F133" s="955"/>
      <c r="G133" s="238" t="s">
        <v>2038</v>
      </c>
      <c r="H133" s="195" t="s">
        <v>2123</v>
      </c>
      <c r="I133" s="977"/>
      <c r="J133" s="308" t="s">
        <v>1472</v>
      </c>
      <c r="K133" s="328">
        <v>5</v>
      </c>
      <c r="L133" s="393">
        <f t="shared" si="10"/>
        <v>396000</v>
      </c>
      <c r="M133" s="335">
        <v>22</v>
      </c>
      <c r="Q133"/>
      <c r="R133"/>
      <c r="S133"/>
      <c r="T133"/>
      <c r="U133"/>
    </row>
    <row r="134" spans="2:29" ht="25" hidden="1" customHeight="1" outlineLevel="1">
      <c r="B134" s="953"/>
      <c r="C134" s="954"/>
      <c r="D134" s="954"/>
      <c r="E134" s="954"/>
      <c r="F134" s="955"/>
      <c r="G134" s="238" t="s">
        <v>1623</v>
      </c>
      <c r="H134" s="195" t="s">
        <v>2124</v>
      </c>
      <c r="I134" s="977"/>
      <c r="J134" s="308" t="s">
        <v>2113</v>
      </c>
      <c r="K134" s="310">
        <v>4</v>
      </c>
      <c r="L134" s="393">
        <f t="shared" si="10"/>
        <v>72000</v>
      </c>
      <c r="M134" s="345">
        <v>4</v>
      </c>
      <c r="Q134"/>
      <c r="R134"/>
      <c r="S134"/>
      <c r="T134"/>
      <c r="U134"/>
    </row>
    <row r="135" spans="2:29" ht="25" hidden="1" customHeight="1" outlineLevel="1">
      <c r="B135" s="953"/>
      <c r="C135" s="954"/>
      <c r="D135" s="954"/>
      <c r="E135" s="954"/>
      <c r="F135" s="955"/>
      <c r="G135" s="238" t="s">
        <v>2035</v>
      </c>
      <c r="H135" s="195" t="s">
        <v>2124</v>
      </c>
      <c r="I135" s="977"/>
      <c r="J135" s="308" t="s">
        <v>1472</v>
      </c>
      <c r="K135" s="310">
        <v>3</v>
      </c>
      <c r="L135" s="393">
        <f t="shared" si="10"/>
        <v>90000</v>
      </c>
      <c r="M135" s="345">
        <v>5</v>
      </c>
      <c r="Q135"/>
      <c r="R135"/>
      <c r="S135"/>
      <c r="T135"/>
      <c r="U135"/>
    </row>
    <row r="136" spans="2:29" ht="25" hidden="1" customHeight="1" outlineLevel="1">
      <c r="B136" s="953"/>
      <c r="C136" s="954"/>
      <c r="D136" s="954"/>
      <c r="E136" s="954"/>
      <c r="F136" s="955"/>
      <c r="G136" s="238" t="s">
        <v>2154</v>
      </c>
      <c r="H136" s="195" t="s">
        <v>2124</v>
      </c>
      <c r="I136" s="977"/>
      <c r="J136" s="308" t="s">
        <v>2113</v>
      </c>
      <c r="K136" s="310">
        <v>4</v>
      </c>
      <c r="L136" s="393">
        <f t="shared" si="10"/>
        <v>288000</v>
      </c>
      <c r="M136" s="345">
        <v>16</v>
      </c>
      <c r="Q136"/>
      <c r="R136"/>
      <c r="S136"/>
      <c r="T136"/>
      <c r="U136"/>
    </row>
    <row r="137" spans="2:29" ht="25" hidden="1" customHeight="1" outlineLevel="1">
      <c r="B137" s="953"/>
      <c r="C137" s="954"/>
      <c r="D137" s="954"/>
      <c r="E137" s="954"/>
      <c r="F137" s="955"/>
      <c r="G137" s="238" t="s">
        <v>2036</v>
      </c>
      <c r="H137" s="195" t="s">
        <v>2124</v>
      </c>
      <c r="I137" s="977"/>
      <c r="J137" s="308" t="s">
        <v>1473</v>
      </c>
      <c r="K137" s="310">
        <v>4</v>
      </c>
      <c r="L137" s="393">
        <f t="shared" si="10"/>
        <v>216000</v>
      </c>
      <c r="M137" s="345">
        <v>12</v>
      </c>
      <c r="Q137"/>
      <c r="R137"/>
      <c r="S137"/>
      <c r="T137"/>
      <c r="U137"/>
    </row>
    <row r="138" spans="2:29" ht="25" hidden="1" customHeight="1" outlineLevel="1">
      <c r="B138" s="978" t="s">
        <v>2173</v>
      </c>
      <c r="C138" s="979"/>
      <c r="D138" s="979"/>
      <c r="E138" s="979"/>
      <c r="F138" s="980"/>
      <c r="G138" s="238" t="s">
        <v>1946</v>
      </c>
      <c r="H138" s="195" t="s">
        <v>2124</v>
      </c>
      <c r="I138" s="977"/>
      <c r="J138" s="308" t="s">
        <v>1446</v>
      </c>
      <c r="K138" s="310">
        <v>5</v>
      </c>
      <c r="L138" s="393">
        <f>E$126*M138*12000</f>
        <v>12000</v>
      </c>
      <c r="M138" s="415">
        <v>1</v>
      </c>
      <c r="Q138"/>
      <c r="R138"/>
      <c r="S138"/>
      <c r="T138"/>
      <c r="U138"/>
    </row>
    <row r="139" spans="2:29" ht="25" hidden="1" customHeight="1" outlineLevel="1">
      <c r="B139" s="953"/>
      <c r="C139" s="954"/>
      <c r="D139" s="954"/>
      <c r="E139" s="954"/>
      <c r="F139" s="955"/>
      <c r="G139" s="238" t="s">
        <v>1624</v>
      </c>
      <c r="H139" s="195" t="s">
        <v>2124</v>
      </c>
      <c r="I139" s="987"/>
      <c r="J139" s="308" t="s">
        <v>1449</v>
      </c>
      <c r="K139" s="310">
        <v>5</v>
      </c>
      <c r="L139" s="393">
        <f>E$126*E$128*M139</f>
        <v>108000</v>
      </c>
      <c r="M139" s="345">
        <v>6</v>
      </c>
      <c r="Q139"/>
      <c r="R139"/>
      <c r="S139"/>
      <c r="T139"/>
      <c r="U139"/>
    </row>
    <row r="140" spans="2:29" ht="25" hidden="1" customHeight="1" outlineLevel="1">
      <c r="B140" s="978" t="s">
        <v>2161</v>
      </c>
      <c r="C140" s="979"/>
      <c r="D140" s="979"/>
      <c r="E140" s="979"/>
      <c r="F140" s="980"/>
      <c r="G140" s="238" t="s">
        <v>1541</v>
      </c>
      <c r="H140" s="195" t="s">
        <v>2124</v>
      </c>
      <c r="I140" s="406" t="s">
        <v>2159</v>
      </c>
      <c r="J140" s="308" t="s">
        <v>1454</v>
      </c>
      <c r="K140" s="400">
        <v>5</v>
      </c>
      <c r="L140" s="393">
        <f>E$126*M140*3*200000</f>
        <v>600000</v>
      </c>
      <c r="M140" s="415">
        <v>1</v>
      </c>
      <c r="Q140"/>
      <c r="R140"/>
      <c r="S140"/>
      <c r="T140"/>
      <c r="U140"/>
    </row>
    <row r="141" spans="2:29" ht="25" hidden="1" customHeight="1" outlineLevel="1">
      <c r="B141" s="773" t="s">
        <v>1990</v>
      </c>
      <c r="C141" s="774"/>
      <c r="D141" s="774"/>
      <c r="E141" s="774"/>
      <c r="F141" s="775"/>
      <c r="G141" s="152" t="s">
        <v>2067</v>
      </c>
      <c r="H141" s="195" t="s">
        <v>2124</v>
      </c>
      <c r="I141" s="976"/>
      <c r="J141" s="308" t="s">
        <v>1447</v>
      </c>
      <c r="K141" s="310">
        <v>3</v>
      </c>
      <c r="L141" s="393">
        <f>E$126*E$128*M141</f>
        <v>414000</v>
      </c>
      <c r="M141" s="345">
        <v>23</v>
      </c>
      <c r="Q141"/>
      <c r="R141"/>
      <c r="S141"/>
      <c r="T141"/>
      <c r="U141"/>
    </row>
    <row r="142" spans="2:29" ht="25" hidden="1" customHeight="1" outlineLevel="1" thickBot="1">
      <c r="B142" s="992" t="s">
        <v>2172</v>
      </c>
      <c r="C142" s="993"/>
      <c r="D142" s="993"/>
      <c r="E142" s="993"/>
      <c r="F142" s="994"/>
      <c r="G142" s="396" t="s">
        <v>2148</v>
      </c>
      <c r="H142" s="195" t="s">
        <v>2125</v>
      </c>
      <c r="I142" s="999"/>
      <c r="J142" s="308" t="s">
        <v>1454</v>
      </c>
      <c r="K142" s="310">
        <v>4</v>
      </c>
      <c r="L142" s="411">
        <v>250000</v>
      </c>
      <c r="M142" s="432"/>
      <c r="Q142"/>
      <c r="R142"/>
      <c r="S142"/>
      <c r="T142"/>
      <c r="U142"/>
    </row>
    <row r="143" spans="2:29" ht="15" customHeight="1" collapsed="1" thickBot="1">
      <c r="B143" s="163" t="str">
        <f>$B$29</f>
        <v>International Initiative for Sustainable Built Environment</v>
      </c>
      <c r="C143" s="163"/>
      <c r="D143" s="163"/>
      <c r="E143" s="163"/>
      <c r="F143" s="163"/>
      <c r="G143" s="165"/>
      <c r="H143" s="12"/>
      <c r="I143" s="165"/>
      <c r="J143" s="12"/>
      <c r="K143" s="12"/>
      <c r="L143" s="12"/>
      <c r="M143" s="12"/>
    </row>
    <row r="144" spans="2:29" s="4" customFormat="1" ht="30" customHeight="1" thickBot="1">
      <c r="B144" s="765" t="str">
        <f>Settings!$B$9</f>
        <v>Damage Assessments for Sustainable Reconstruction in Ukraine</v>
      </c>
      <c r="C144" s="766"/>
      <c r="D144" s="766"/>
      <c r="E144" s="766"/>
      <c r="F144" s="766"/>
      <c r="G144" s="766"/>
      <c r="H144" s="966"/>
      <c r="I144" s="935" t="str">
        <f>I$2</f>
        <v>Irpin Urban Area</v>
      </c>
      <c r="J144" s="936"/>
      <c r="K144" s="937"/>
      <c r="L144" s="173" t="str">
        <f>L$2</f>
        <v>27Jan23</v>
      </c>
      <c r="M144" s="157">
        <v>8</v>
      </c>
      <c r="N144"/>
      <c r="O144"/>
      <c r="P144"/>
      <c r="Q144" s="2"/>
      <c r="S144" s="10"/>
      <c r="V144"/>
      <c r="W144"/>
      <c r="X144"/>
      <c r="Y144"/>
      <c r="Z144"/>
      <c r="AA144"/>
      <c r="AB144"/>
      <c r="AC144"/>
    </row>
    <row r="145" spans="2:29" s="4" customFormat="1" ht="27" customHeight="1">
      <c r="B145" s="938" t="str">
        <f>Languages!$C$281&amp;" 1"</f>
        <v>Education Facilities 1</v>
      </c>
      <c r="C145" s="939"/>
      <c r="D145" s="787" t="str">
        <f>Languages!$N$176</f>
        <v>Information on main asset &amp; sub-assets</v>
      </c>
      <c r="E145" s="788" t="str">
        <f>Languages!$I$188</f>
        <v>Area and/or quantity assessed</v>
      </c>
      <c r="F145" s="789"/>
      <c r="G145" s="792" t="str">
        <f>Languages!$M$194</f>
        <v>Enter info on type and area / quantity of assets, type and extent of damage.</v>
      </c>
      <c r="H145" s="809"/>
      <c r="I145" s="796" t="s">
        <v>2118</v>
      </c>
      <c r="J145" s="798" t="str">
        <f>Languages!$K$177</f>
        <v>Approx. repair costs, priority 4 &amp; 5 assets, m. Euro</v>
      </c>
      <c r="K145" s="799"/>
      <c r="L145" s="263">
        <f>IF(K149&gt;3,L149)+IF(K158&gt;3,L158)</f>
        <v>0.114</v>
      </c>
      <c r="M145" s="259" t="s">
        <v>1966</v>
      </c>
      <c r="N145"/>
      <c r="O145"/>
      <c r="P145"/>
      <c r="Q145" s="2"/>
      <c r="R145"/>
      <c r="S145"/>
      <c r="V145"/>
      <c r="W145"/>
      <c r="X145"/>
      <c r="Y145"/>
      <c r="Z145"/>
      <c r="AA145"/>
      <c r="AB145"/>
      <c r="AC145"/>
    </row>
    <row r="146" spans="2:29" ht="27" customHeight="1">
      <c r="B146" s="940"/>
      <c r="C146" s="941"/>
      <c r="D146" s="768"/>
      <c r="E146" s="790"/>
      <c r="F146" s="791"/>
      <c r="G146" s="794"/>
      <c r="H146" s="810"/>
      <c r="I146" s="797"/>
      <c r="J146" s="852" t="str">
        <f>Languages!$K$176</f>
        <v>Approx. total repair costs, m. Euro</v>
      </c>
      <c r="K146" s="853"/>
      <c r="L146" s="264">
        <f>(L149+L158)</f>
        <v>0.374</v>
      </c>
      <c r="M146" s="260" t="s">
        <v>1966</v>
      </c>
      <c r="O146"/>
    </row>
    <row r="147" spans="2:29" ht="20" customHeight="1">
      <c r="B147" s="940"/>
      <c r="C147" s="941"/>
      <c r="D147" s="768"/>
      <c r="E147" s="802" t="s">
        <v>1546</v>
      </c>
      <c r="F147" s="804" t="str">
        <f>Languages!$N$178</f>
        <v>Unit type</v>
      </c>
      <c r="G147" s="769" t="s">
        <v>2122</v>
      </c>
      <c r="H147" s="769" t="s">
        <v>2132</v>
      </c>
      <c r="I147" s="331" t="s">
        <v>2117</v>
      </c>
      <c r="J147" s="771" t="str">
        <f>Languages!$K$178</f>
        <v>Actions</v>
      </c>
      <c r="K147" s="772"/>
      <c r="L147" s="960" t="str">
        <f>Languages!$M$176</f>
        <v>Est. repair cost</v>
      </c>
      <c r="M147" s="961"/>
      <c r="O147"/>
    </row>
    <row r="148" spans="2:29" ht="26" customHeight="1" thickBot="1">
      <c r="B148" s="940"/>
      <c r="C148" s="941"/>
      <c r="D148" s="768"/>
      <c r="E148" s="803"/>
      <c r="F148" s="805"/>
      <c r="G148" s="770"/>
      <c r="H148" s="770"/>
      <c r="I148" s="330" t="str">
        <f>Languages!$E$190</f>
        <v>Social Impact level</v>
      </c>
      <c r="J148" s="492" t="str">
        <f>Languages!$K$185</f>
        <v>Action required</v>
      </c>
      <c r="K148" s="504" t="str">
        <f>Languages!$G$193</f>
        <v>Priority 
1 - 5</v>
      </c>
      <c r="L148" s="493" t="str">
        <f>Languages!$M$177</f>
        <v>Total m. Euro</v>
      </c>
      <c r="M148" s="494" t="str">
        <f>Languages!$M$178&amp;" per m2"</f>
        <v>Est. Euro per m2</v>
      </c>
      <c r="O148"/>
    </row>
    <row r="149" spans="2:29" ht="24" customHeight="1">
      <c r="B149" s="917" t="str">
        <f>Languages!C$282</f>
        <v>Daycare facility</v>
      </c>
      <c r="C149" s="918"/>
      <c r="D149" s="579" t="s">
        <v>2178</v>
      </c>
      <c r="E149" s="949">
        <v>10</v>
      </c>
      <c r="F149" s="950"/>
      <c r="G149" s="951" t="str">
        <f>G$13</f>
        <v>Whole Asset or Building</v>
      </c>
      <c r="H149" s="967" t="s">
        <v>2124</v>
      </c>
      <c r="I149" s="501" t="s">
        <v>2103</v>
      </c>
      <c r="J149" s="927" t="s">
        <v>2212</v>
      </c>
      <c r="K149" s="929">
        <f>SUM(K152:K157)/6</f>
        <v>3.6666666666666665</v>
      </c>
      <c r="L149" s="988">
        <f>SUM(L152:L157)/1000000</f>
        <v>0.114</v>
      </c>
      <c r="M149" s="942" t="str">
        <f>M$13</f>
        <v>million Euro</v>
      </c>
      <c r="Q149"/>
      <c r="R149"/>
      <c r="S149"/>
      <c r="T149"/>
      <c r="U149"/>
    </row>
    <row r="150" spans="2:29" ht="24" customHeight="1" thickBot="1">
      <c r="B150" s="919"/>
      <c r="C150" s="920"/>
      <c r="D150" s="550" t="s">
        <v>1555</v>
      </c>
      <c r="E150" s="944">
        <f>E149*E151</f>
        <v>1500</v>
      </c>
      <c r="F150" s="932"/>
      <c r="G150" s="952"/>
      <c r="H150" s="968"/>
      <c r="I150" s="538" t="s">
        <v>2120</v>
      </c>
      <c r="J150" s="928"/>
      <c r="K150" s="930"/>
      <c r="L150" s="989"/>
      <c r="M150" s="943"/>
      <c r="Q150"/>
      <c r="R150"/>
      <c r="S150"/>
      <c r="T150"/>
      <c r="U150"/>
    </row>
    <row r="151" spans="2:29" ht="24" hidden="1" customHeight="1" outlineLevel="1" thickBot="1">
      <c r="B151" s="915"/>
      <c r="C151" s="916"/>
      <c r="D151" s="503" t="s">
        <v>2145</v>
      </c>
      <c r="E151" s="360">
        <v>150</v>
      </c>
      <c r="F151" s="496" t="s">
        <v>1528</v>
      </c>
      <c r="G151" s="461" t="str">
        <f>G$15</f>
        <v>Components</v>
      </c>
      <c r="H151" s="330" t="s">
        <v>2250</v>
      </c>
      <c r="I151" s="497" t="s">
        <v>2141</v>
      </c>
      <c r="J151" s="351" t="str">
        <f>Languages!$K$185</f>
        <v>Action required</v>
      </c>
      <c r="K151" s="362"/>
      <c r="L151" s="498" t="s">
        <v>2144</v>
      </c>
      <c r="M151" s="510" t="s">
        <v>2143</v>
      </c>
      <c r="Q151"/>
      <c r="R151"/>
      <c r="S151"/>
      <c r="T151"/>
      <c r="U151"/>
    </row>
    <row r="152" spans="2:29" ht="25" hidden="1" customHeight="1" outlineLevel="1">
      <c r="B152" s="953" t="s">
        <v>2165</v>
      </c>
      <c r="C152" s="954"/>
      <c r="D152" s="954"/>
      <c r="E152" s="954"/>
      <c r="F152" s="955"/>
      <c r="G152" s="238" t="s">
        <v>2034</v>
      </c>
      <c r="H152" s="195" t="s">
        <v>2124</v>
      </c>
      <c r="I152" s="1006"/>
      <c r="J152" s="195" t="s">
        <v>2113</v>
      </c>
      <c r="K152" s="266">
        <v>3</v>
      </c>
      <c r="L152" s="392">
        <f>E$149*E$151*M152</f>
        <v>18000</v>
      </c>
      <c r="M152" s="335">
        <v>12</v>
      </c>
      <c r="Q152"/>
      <c r="R152"/>
      <c r="S152"/>
      <c r="T152"/>
      <c r="U152"/>
    </row>
    <row r="153" spans="2:29" ht="25" hidden="1" customHeight="1" outlineLevel="1">
      <c r="B153" s="953"/>
      <c r="C153" s="954"/>
      <c r="D153" s="954"/>
      <c r="E153" s="954"/>
      <c r="F153" s="955"/>
      <c r="G153" s="238" t="s">
        <v>1983</v>
      </c>
      <c r="H153" s="195" t="s">
        <v>2124</v>
      </c>
      <c r="I153" s="1007"/>
      <c r="J153" s="195" t="s">
        <v>1473</v>
      </c>
      <c r="K153" s="265">
        <v>3</v>
      </c>
      <c r="L153" s="392">
        <f t="shared" ref="L153:L157" si="11">E$149*E$151*M153</f>
        <v>34500</v>
      </c>
      <c r="M153" s="345">
        <v>23</v>
      </c>
      <c r="Q153"/>
      <c r="R153"/>
      <c r="S153"/>
      <c r="T153"/>
      <c r="U153"/>
    </row>
    <row r="154" spans="2:29" ht="25" hidden="1" customHeight="1" outlineLevel="1">
      <c r="B154" s="953"/>
      <c r="C154" s="954"/>
      <c r="D154" s="954"/>
      <c r="E154" s="954"/>
      <c r="F154" s="955"/>
      <c r="G154" s="238" t="s">
        <v>1543</v>
      </c>
      <c r="H154" s="195" t="s">
        <v>2124</v>
      </c>
      <c r="I154" s="1007"/>
      <c r="J154" s="195" t="s">
        <v>2113</v>
      </c>
      <c r="K154" s="266">
        <v>5</v>
      </c>
      <c r="L154" s="392">
        <f t="shared" si="11"/>
        <v>9000</v>
      </c>
      <c r="M154" s="345">
        <v>6</v>
      </c>
      <c r="Q154"/>
      <c r="R154"/>
      <c r="S154"/>
      <c r="T154"/>
      <c r="U154"/>
    </row>
    <row r="155" spans="2:29" ht="25" hidden="1" customHeight="1" outlineLevel="1">
      <c r="B155" s="953"/>
      <c r="C155" s="954"/>
      <c r="D155" s="954"/>
      <c r="E155" s="954"/>
      <c r="F155" s="955"/>
      <c r="G155" s="238" t="s">
        <v>1540</v>
      </c>
      <c r="H155" s="195" t="s">
        <v>2124</v>
      </c>
      <c r="I155" s="1007"/>
      <c r="J155" s="195" t="s">
        <v>1473</v>
      </c>
      <c r="K155" s="265">
        <v>4</v>
      </c>
      <c r="L155" s="392">
        <f t="shared" si="11"/>
        <v>34500</v>
      </c>
      <c r="M155" s="345">
        <v>23</v>
      </c>
      <c r="Q155"/>
      <c r="R155"/>
      <c r="S155"/>
      <c r="T155"/>
      <c r="U155"/>
    </row>
    <row r="156" spans="2:29" ht="25" hidden="1" customHeight="1" outlineLevel="1">
      <c r="B156" s="953"/>
      <c r="C156" s="954"/>
      <c r="D156" s="954"/>
      <c r="E156" s="954"/>
      <c r="F156" s="955"/>
      <c r="G156" s="238" t="s">
        <v>428</v>
      </c>
      <c r="H156" s="195" t="s">
        <v>2124</v>
      </c>
      <c r="I156" s="1007"/>
      <c r="J156" s="195" t="s">
        <v>1448</v>
      </c>
      <c r="K156" s="266">
        <v>4</v>
      </c>
      <c r="L156" s="392">
        <f t="shared" si="11"/>
        <v>18000</v>
      </c>
      <c r="M156" s="345">
        <v>12</v>
      </c>
      <c r="Q156"/>
      <c r="R156"/>
      <c r="S156"/>
      <c r="T156"/>
      <c r="U156"/>
    </row>
    <row r="157" spans="2:29" ht="23" hidden="1" customHeight="1" outlineLevel="1" thickBot="1">
      <c r="B157" s="953"/>
      <c r="C157" s="954"/>
      <c r="D157" s="954"/>
      <c r="E157" s="954"/>
      <c r="F157" s="955"/>
      <c r="G157" s="458"/>
      <c r="H157" s="385"/>
      <c r="I157" s="1007"/>
      <c r="J157" s="385"/>
      <c r="K157" s="265">
        <v>3</v>
      </c>
      <c r="L157" s="464">
        <f t="shared" si="11"/>
        <v>0</v>
      </c>
      <c r="M157" s="356">
        <v>0</v>
      </c>
      <c r="Q157"/>
      <c r="R157"/>
      <c r="S157"/>
      <c r="T157"/>
      <c r="U157"/>
    </row>
    <row r="158" spans="2:29" ht="24" customHeight="1" collapsed="1">
      <c r="B158" s="917" t="str">
        <f>Languages!C$283</f>
        <v>Kindergarten</v>
      </c>
      <c r="C158" s="918"/>
      <c r="D158" s="579" t="s">
        <v>2178</v>
      </c>
      <c r="E158" s="949">
        <v>10</v>
      </c>
      <c r="F158" s="950"/>
      <c r="G158" s="951" t="str">
        <f>G$13</f>
        <v>Whole Asset or Building</v>
      </c>
      <c r="H158" s="500" t="s">
        <v>1548</v>
      </c>
      <c r="I158" s="501" t="s">
        <v>2103</v>
      </c>
      <c r="J158" s="927" t="s">
        <v>2212</v>
      </c>
      <c r="K158" s="929">
        <f>SUM(K161:K166)/6</f>
        <v>2.8333333333333335</v>
      </c>
      <c r="L158" s="988">
        <f>SUM(L161:L166)/1000000</f>
        <v>0.26</v>
      </c>
      <c r="M158" s="942" t="str">
        <f>M$13</f>
        <v>million Euro</v>
      </c>
      <c r="Q158"/>
      <c r="R158"/>
      <c r="S158"/>
      <c r="T158"/>
      <c r="U158"/>
    </row>
    <row r="159" spans="2:29" ht="22" customHeight="1" thickBot="1">
      <c r="B159" s="919"/>
      <c r="C159" s="920"/>
      <c r="D159" s="550" t="s">
        <v>1555</v>
      </c>
      <c r="E159" s="944">
        <f>E158*E160</f>
        <v>2500</v>
      </c>
      <c r="F159" s="932"/>
      <c r="G159" s="952"/>
      <c r="H159" s="539" t="s">
        <v>2124</v>
      </c>
      <c r="I159" s="538" t="s">
        <v>2120</v>
      </c>
      <c r="J159" s="928"/>
      <c r="K159" s="930"/>
      <c r="L159" s="989"/>
      <c r="M159" s="943"/>
      <c r="Q159"/>
      <c r="R159"/>
      <c r="S159"/>
      <c r="T159"/>
      <c r="U159"/>
    </row>
    <row r="160" spans="2:29" ht="24" hidden="1" customHeight="1" outlineLevel="1">
      <c r="B160" s="915"/>
      <c r="C160" s="916"/>
      <c r="D160" s="503" t="s">
        <v>2145</v>
      </c>
      <c r="E160" s="360">
        <v>250</v>
      </c>
      <c r="F160" s="496" t="s">
        <v>1528</v>
      </c>
      <c r="G160" s="461" t="str">
        <f>G$15</f>
        <v>Components</v>
      </c>
      <c r="H160" s="330" t="s">
        <v>2250</v>
      </c>
      <c r="I160" s="497" t="s">
        <v>2141</v>
      </c>
      <c r="J160" s="351" t="str">
        <f>Languages!$K$185</f>
        <v>Action required</v>
      </c>
      <c r="K160" s="362"/>
      <c r="L160" s="498" t="s">
        <v>2144</v>
      </c>
      <c r="M160" s="499" t="s">
        <v>2143</v>
      </c>
      <c r="Q160"/>
      <c r="R160"/>
      <c r="S160"/>
      <c r="T160"/>
      <c r="U160"/>
    </row>
    <row r="161" spans="2:29" ht="25" hidden="1" customHeight="1" outlineLevel="1">
      <c r="B161" s="953" t="s">
        <v>2165</v>
      </c>
      <c r="C161" s="954"/>
      <c r="D161" s="954"/>
      <c r="E161" s="954"/>
      <c r="F161" s="955"/>
      <c r="G161" s="238" t="s">
        <v>2034</v>
      </c>
      <c r="H161" s="195" t="s">
        <v>2124</v>
      </c>
      <c r="I161" s="995"/>
      <c r="J161" s="195" t="s">
        <v>2113</v>
      </c>
      <c r="K161" s="266">
        <v>3</v>
      </c>
      <c r="L161" s="392">
        <f>E$158*E$160*M161</f>
        <v>30000</v>
      </c>
      <c r="M161" s="345">
        <v>12</v>
      </c>
      <c r="Q161"/>
      <c r="R161"/>
      <c r="S161"/>
      <c r="T161"/>
      <c r="U161"/>
    </row>
    <row r="162" spans="2:29" ht="25" hidden="1" customHeight="1" outlineLevel="1">
      <c r="B162" s="953" t="s">
        <v>2208</v>
      </c>
      <c r="C162" s="954"/>
      <c r="D162" s="954"/>
      <c r="E162" s="954"/>
      <c r="F162" s="955"/>
      <c r="G162" s="238" t="s">
        <v>1983</v>
      </c>
      <c r="H162" s="195" t="s">
        <v>2124</v>
      </c>
      <c r="I162" s="996"/>
      <c r="J162" s="195" t="s">
        <v>1449</v>
      </c>
      <c r="K162" s="265">
        <v>3</v>
      </c>
      <c r="L162" s="392">
        <f t="shared" ref="L162:L166" si="12">E$158*E$160*M162</f>
        <v>57500</v>
      </c>
      <c r="M162" s="345">
        <v>23</v>
      </c>
      <c r="Q162"/>
      <c r="R162"/>
      <c r="S162"/>
      <c r="T162"/>
      <c r="U162"/>
    </row>
    <row r="163" spans="2:29" ht="25" hidden="1" customHeight="1" outlineLevel="1">
      <c r="B163" s="953"/>
      <c r="C163" s="954"/>
      <c r="D163" s="954"/>
      <c r="E163" s="954"/>
      <c r="F163" s="955"/>
      <c r="G163" s="238" t="s">
        <v>1543</v>
      </c>
      <c r="H163" s="195" t="s">
        <v>2124</v>
      </c>
      <c r="I163" s="996"/>
      <c r="J163" s="195" t="s">
        <v>1448</v>
      </c>
      <c r="K163" s="265">
        <v>3</v>
      </c>
      <c r="L163" s="392">
        <f t="shared" si="12"/>
        <v>30000</v>
      </c>
      <c r="M163" s="345">
        <v>12</v>
      </c>
      <c r="Q163"/>
      <c r="R163"/>
      <c r="S163"/>
      <c r="T163"/>
      <c r="U163"/>
    </row>
    <row r="164" spans="2:29" ht="25" hidden="1" customHeight="1" outlineLevel="1">
      <c r="B164" s="953"/>
      <c r="C164" s="954"/>
      <c r="D164" s="954"/>
      <c r="E164" s="954"/>
      <c r="F164" s="955"/>
      <c r="G164" s="238" t="s">
        <v>1540</v>
      </c>
      <c r="H164" s="195" t="s">
        <v>2124</v>
      </c>
      <c r="I164" s="996"/>
      <c r="J164" s="195" t="s">
        <v>1449</v>
      </c>
      <c r="K164" s="265">
        <v>3</v>
      </c>
      <c r="L164" s="392">
        <f t="shared" si="12"/>
        <v>57500</v>
      </c>
      <c r="M164" s="345">
        <v>23</v>
      </c>
      <c r="Q164"/>
      <c r="R164"/>
      <c r="S164"/>
      <c r="T164"/>
      <c r="U164"/>
    </row>
    <row r="165" spans="2:29" ht="25" hidden="1" customHeight="1" outlineLevel="1">
      <c r="B165" s="953"/>
      <c r="C165" s="954"/>
      <c r="D165" s="954"/>
      <c r="E165" s="954"/>
      <c r="F165" s="955"/>
      <c r="G165" s="238" t="s">
        <v>428</v>
      </c>
      <c r="H165" s="195" t="s">
        <v>2124</v>
      </c>
      <c r="I165" s="996"/>
      <c r="J165" s="195" t="s">
        <v>1454</v>
      </c>
      <c r="K165" s="265">
        <v>3</v>
      </c>
      <c r="L165" s="392">
        <f t="shared" si="12"/>
        <v>57500</v>
      </c>
      <c r="M165" s="345">
        <v>23</v>
      </c>
      <c r="Q165"/>
      <c r="R165"/>
      <c r="S165"/>
      <c r="T165"/>
      <c r="U165"/>
    </row>
    <row r="166" spans="2:29" ht="25" hidden="1" customHeight="1" outlineLevel="1" thickBot="1">
      <c r="B166" s="953"/>
      <c r="C166" s="954"/>
      <c r="D166" s="954"/>
      <c r="E166" s="954"/>
      <c r="F166" s="955"/>
      <c r="G166" s="238" t="s">
        <v>114</v>
      </c>
      <c r="H166" s="195" t="s">
        <v>2124</v>
      </c>
      <c r="I166" s="997"/>
      <c r="J166" s="268" t="s">
        <v>1473</v>
      </c>
      <c r="K166" s="267">
        <v>2</v>
      </c>
      <c r="L166" s="392">
        <f t="shared" si="12"/>
        <v>27500</v>
      </c>
      <c r="M166" s="350">
        <v>11</v>
      </c>
      <c r="Q166"/>
      <c r="R166"/>
      <c r="S166"/>
      <c r="T166"/>
      <c r="U166"/>
    </row>
    <row r="167" spans="2:29" ht="15" customHeight="1" collapsed="1" thickBot="1">
      <c r="B167" s="163" t="str">
        <f>$B$29</f>
        <v>International Initiative for Sustainable Built Environment</v>
      </c>
      <c r="C167" s="163"/>
      <c r="D167" s="163"/>
      <c r="E167" s="163"/>
      <c r="F167" s="163"/>
      <c r="G167" s="165"/>
      <c r="H167" s="12"/>
      <c r="I167" s="165"/>
      <c r="J167" s="12"/>
      <c r="K167" s="12"/>
      <c r="L167" s="12"/>
      <c r="M167" s="12"/>
    </row>
    <row r="168" spans="2:29" s="4" customFormat="1" ht="30" customHeight="1" thickBot="1">
      <c r="B168" s="765" t="str">
        <f>Settings!$B$9</f>
        <v>Damage Assessments for Sustainable Reconstruction in Ukraine</v>
      </c>
      <c r="C168" s="766"/>
      <c r="D168" s="766"/>
      <c r="E168" s="766"/>
      <c r="F168" s="766"/>
      <c r="G168" s="766"/>
      <c r="H168" s="966"/>
      <c r="I168" s="935" t="str">
        <f>I$2</f>
        <v>Irpin Urban Area</v>
      </c>
      <c r="J168" s="936"/>
      <c r="K168" s="937"/>
      <c r="L168" s="173" t="str">
        <f>L$2</f>
        <v>27Jan23</v>
      </c>
      <c r="M168" s="157">
        <v>9</v>
      </c>
      <c r="N168"/>
      <c r="O168"/>
      <c r="P168"/>
      <c r="Q168" s="2"/>
      <c r="S168" s="10"/>
      <c r="V168"/>
      <c r="W168"/>
      <c r="X168"/>
      <c r="Y168"/>
      <c r="Z168"/>
      <c r="AA168"/>
      <c r="AB168"/>
      <c r="AC168"/>
    </row>
    <row r="169" spans="2:29" s="4" customFormat="1" ht="27" customHeight="1">
      <c r="B169" s="938" t="str">
        <f>Languages!$C$281&amp;" 2"</f>
        <v>Education Facilities 2</v>
      </c>
      <c r="C169" s="939"/>
      <c r="D169" s="787" t="str">
        <f>Languages!$N$176</f>
        <v>Information on main asset &amp; sub-assets</v>
      </c>
      <c r="E169" s="788" t="str">
        <f>Languages!$I$188</f>
        <v>Area and/or quantity assessed</v>
      </c>
      <c r="F169" s="789"/>
      <c r="G169" s="792" t="str">
        <f>Languages!$M$194</f>
        <v>Enter info on type and area / quantity of assets, type and extent of damage.</v>
      </c>
      <c r="H169" s="809"/>
      <c r="I169" s="796" t="s">
        <v>2118</v>
      </c>
      <c r="J169" s="798" t="str">
        <f>Languages!$K$177</f>
        <v>Approx. repair costs, priority 4 &amp; 5 assets, m. Euro</v>
      </c>
      <c r="K169" s="799"/>
      <c r="L169" s="263">
        <f>IF(K173&gt;3,L173)+IF(K104&gt;3,L184)</f>
        <v>2.9129999999999998</v>
      </c>
      <c r="M169" s="259" t="s">
        <v>1966</v>
      </c>
      <c r="N169"/>
      <c r="O169"/>
      <c r="P169"/>
      <c r="Q169" s="2"/>
      <c r="R169"/>
      <c r="S169"/>
      <c r="V169"/>
      <c r="W169"/>
      <c r="X169"/>
      <c r="Y169"/>
      <c r="Z169"/>
      <c r="AA169"/>
      <c r="AB169"/>
      <c r="AC169"/>
    </row>
    <row r="170" spans="2:29" ht="27" customHeight="1">
      <c r="B170" s="940"/>
      <c r="C170" s="941"/>
      <c r="D170" s="768"/>
      <c r="E170" s="790"/>
      <c r="F170" s="791"/>
      <c r="G170" s="794"/>
      <c r="H170" s="810"/>
      <c r="I170" s="797"/>
      <c r="J170" s="852" t="str">
        <f>Languages!$K$176</f>
        <v>Approx. total repair costs, m. Euro</v>
      </c>
      <c r="K170" s="853"/>
      <c r="L170" s="264">
        <f>(L173+L184)</f>
        <v>3.0449999999999999</v>
      </c>
      <c r="M170" s="260" t="s">
        <v>1966</v>
      </c>
      <c r="O170"/>
    </row>
    <row r="171" spans="2:29" ht="20" customHeight="1">
      <c r="B171" s="940"/>
      <c r="C171" s="941"/>
      <c r="D171" s="768"/>
      <c r="E171" s="802" t="s">
        <v>1546</v>
      </c>
      <c r="F171" s="804" t="str">
        <f>Languages!$N$178</f>
        <v>Unit type</v>
      </c>
      <c r="G171" s="769" t="s">
        <v>2122</v>
      </c>
      <c r="H171" s="769" t="s">
        <v>2132</v>
      </c>
      <c r="I171" s="331" t="s">
        <v>2117</v>
      </c>
      <c r="J171" s="771" t="str">
        <f>Languages!$K$178</f>
        <v>Actions</v>
      </c>
      <c r="K171" s="772"/>
      <c r="L171" s="960" t="str">
        <f>Languages!$M$176</f>
        <v>Est. repair cost</v>
      </c>
      <c r="M171" s="961"/>
      <c r="O171"/>
    </row>
    <row r="172" spans="2:29" ht="23" customHeight="1" thickBot="1">
      <c r="B172" s="940"/>
      <c r="C172" s="941"/>
      <c r="D172" s="768"/>
      <c r="E172" s="803"/>
      <c r="F172" s="805"/>
      <c r="G172" s="770"/>
      <c r="H172" s="770"/>
      <c r="I172" s="330" t="str">
        <f>Languages!$E$190</f>
        <v>Social Impact level</v>
      </c>
      <c r="J172" s="492" t="str">
        <f>Languages!$K$185</f>
        <v>Action required</v>
      </c>
      <c r="K172" s="504" t="str">
        <f>Languages!$G$193</f>
        <v>Priority 
1 - 5</v>
      </c>
      <c r="L172" s="493" t="str">
        <f>Languages!$M$177</f>
        <v>Total m. Euro</v>
      </c>
      <c r="M172" s="494" t="str">
        <f>Languages!$M$178&amp;" per m2"</f>
        <v>Est. Euro per m2</v>
      </c>
      <c r="O172"/>
    </row>
    <row r="173" spans="2:29" ht="24" customHeight="1">
      <c r="B173" s="917" t="str">
        <f>Languages!C$285&amp;", 2 floors"</f>
        <v>High school, 2 floors</v>
      </c>
      <c r="C173" s="918"/>
      <c r="D173" s="579" t="s">
        <v>2178</v>
      </c>
      <c r="E173" s="949">
        <v>3</v>
      </c>
      <c r="F173" s="950"/>
      <c r="G173" s="951" t="str">
        <f>G$13</f>
        <v>Whole Asset or Building</v>
      </c>
      <c r="H173" s="967" t="s">
        <v>2124</v>
      </c>
      <c r="I173" s="501" t="s">
        <v>2103</v>
      </c>
      <c r="J173" s="927" t="s">
        <v>2212</v>
      </c>
      <c r="K173" s="929">
        <f>SUM(K176:K183)/8</f>
        <v>3.375</v>
      </c>
      <c r="L173" s="947">
        <f>SUM(L176:L183)/1000000</f>
        <v>2.9129999999999998</v>
      </c>
      <c r="M173" s="942" t="str">
        <f>M$13</f>
        <v>million Euro</v>
      </c>
      <c r="Q173"/>
      <c r="R173"/>
      <c r="S173"/>
      <c r="T173"/>
      <c r="U173"/>
    </row>
    <row r="174" spans="2:29" ht="24" customHeight="1" thickBot="1">
      <c r="B174" s="919"/>
      <c r="C174" s="920"/>
      <c r="D174" s="550" t="s">
        <v>1555</v>
      </c>
      <c r="E174" s="944">
        <f>E173*E175</f>
        <v>15000</v>
      </c>
      <c r="F174" s="932"/>
      <c r="G174" s="952"/>
      <c r="H174" s="968"/>
      <c r="I174" s="538" t="s">
        <v>2120</v>
      </c>
      <c r="J174" s="928"/>
      <c r="K174" s="930"/>
      <c r="L174" s="948"/>
      <c r="M174" s="943"/>
      <c r="Q174"/>
      <c r="R174"/>
      <c r="S174"/>
      <c r="T174"/>
      <c r="U174"/>
    </row>
    <row r="175" spans="2:29" ht="24" hidden="1" customHeight="1" outlineLevel="1">
      <c r="B175" s="915"/>
      <c r="C175" s="916"/>
      <c r="D175" s="503" t="s">
        <v>2145</v>
      </c>
      <c r="E175" s="360">
        <v>5000</v>
      </c>
      <c r="F175" s="496" t="s">
        <v>1528</v>
      </c>
      <c r="G175" s="461" t="str">
        <f>G$15</f>
        <v>Components</v>
      </c>
      <c r="H175" s="330" t="s">
        <v>2250</v>
      </c>
      <c r="I175" s="497" t="s">
        <v>2141</v>
      </c>
      <c r="J175" s="351" t="str">
        <f>Languages!$K$185</f>
        <v>Action required</v>
      </c>
      <c r="K175" s="362"/>
      <c r="L175" s="498" t="s">
        <v>2144</v>
      </c>
      <c r="M175" s="499" t="s">
        <v>2143</v>
      </c>
      <c r="Q175"/>
      <c r="R175"/>
      <c r="S175"/>
      <c r="T175"/>
      <c r="U175"/>
    </row>
    <row r="176" spans="2:29" ht="25" hidden="1" customHeight="1" outlineLevel="1">
      <c r="B176" s="953"/>
      <c r="C176" s="954"/>
      <c r="D176" s="954"/>
      <c r="E176" s="954"/>
      <c r="F176" s="955"/>
      <c r="G176" s="238" t="s">
        <v>1983</v>
      </c>
      <c r="H176" s="195" t="s">
        <v>2124</v>
      </c>
      <c r="I176" s="404"/>
      <c r="J176" s="195" t="s">
        <v>1473</v>
      </c>
      <c r="K176" s="266">
        <v>3</v>
      </c>
      <c r="L176" s="390">
        <f>E$173*E$175*M176</f>
        <v>210000</v>
      </c>
      <c r="M176" s="345">
        <v>14</v>
      </c>
      <c r="Q176"/>
      <c r="R176"/>
      <c r="S176"/>
      <c r="T176"/>
      <c r="U176"/>
    </row>
    <row r="177" spans="2:29" ht="25" hidden="1" customHeight="1" outlineLevel="1">
      <c r="B177" s="953"/>
      <c r="C177" s="954"/>
      <c r="D177" s="954"/>
      <c r="E177" s="954"/>
      <c r="F177" s="955"/>
      <c r="G177" s="238" t="s">
        <v>1543</v>
      </c>
      <c r="H177" s="195" t="s">
        <v>2124</v>
      </c>
      <c r="I177" s="405"/>
      <c r="J177" s="413" t="s">
        <v>2113</v>
      </c>
      <c r="K177" s="427">
        <v>3</v>
      </c>
      <c r="L177" s="390">
        <f t="shared" ref="L177:L180" si="13">E$173*E$175*M177</f>
        <v>180000</v>
      </c>
      <c r="M177" s="335">
        <v>12</v>
      </c>
      <c r="Q177"/>
      <c r="R177"/>
      <c r="S177"/>
      <c r="T177"/>
      <c r="U177"/>
    </row>
    <row r="178" spans="2:29" ht="25" hidden="1" customHeight="1" outlineLevel="1">
      <c r="B178" s="953"/>
      <c r="C178" s="954"/>
      <c r="D178" s="954"/>
      <c r="E178" s="954"/>
      <c r="F178" s="955"/>
      <c r="G178" s="238" t="s">
        <v>1540</v>
      </c>
      <c r="H178" s="195" t="s">
        <v>2124</v>
      </c>
      <c r="I178" s="405"/>
      <c r="J178" s="195" t="s">
        <v>1473</v>
      </c>
      <c r="K178" s="266">
        <v>3</v>
      </c>
      <c r="L178" s="390">
        <f t="shared" si="13"/>
        <v>1050000</v>
      </c>
      <c r="M178" s="345">
        <v>70</v>
      </c>
      <c r="Q178"/>
      <c r="R178"/>
      <c r="S178"/>
      <c r="T178"/>
      <c r="U178"/>
    </row>
    <row r="179" spans="2:29" ht="25" hidden="1" customHeight="1" outlineLevel="1">
      <c r="B179" s="953"/>
      <c r="C179" s="954"/>
      <c r="D179" s="954"/>
      <c r="E179" s="954"/>
      <c r="F179" s="955"/>
      <c r="G179" s="238" t="s">
        <v>2038</v>
      </c>
      <c r="H179" s="195" t="s">
        <v>2124</v>
      </c>
      <c r="I179" s="405"/>
      <c r="J179" s="413" t="s">
        <v>2113</v>
      </c>
      <c r="K179" s="427">
        <v>3</v>
      </c>
      <c r="L179" s="390">
        <f t="shared" si="13"/>
        <v>180000</v>
      </c>
      <c r="M179" s="335">
        <v>12</v>
      </c>
      <c r="Q179"/>
      <c r="R179"/>
      <c r="S179"/>
      <c r="T179"/>
      <c r="U179"/>
    </row>
    <row r="180" spans="2:29" ht="25" hidden="1" customHeight="1" outlineLevel="1">
      <c r="B180" s="953"/>
      <c r="C180" s="954"/>
      <c r="D180" s="954"/>
      <c r="E180" s="954"/>
      <c r="F180" s="955"/>
      <c r="G180" s="238" t="s">
        <v>2154</v>
      </c>
      <c r="H180" s="195" t="s">
        <v>2124</v>
      </c>
      <c r="I180" s="405"/>
      <c r="J180" s="195" t="s">
        <v>1473</v>
      </c>
      <c r="K180" s="266">
        <v>3</v>
      </c>
      <c r="L180" s="390">
        <f t="shared" si="13"/>
        <v>1050000</v>
      </c>
      <c r="M180" s="345">
        <v>70</v>
      </c>
      <c r="Q180"/>
      <c r="R180"/>
      <c r="S180"/>
      <c r="T180"/>
      <c r="U180"/>
    </row>
    <row r="181" spans="2:29" ht="25" hidden="1" customHeight="1" outlineLevel="1">
      <c r="B181" s="978" t="s">
        <v>2179</v>
      </c>
      <c r="C181" s="979"/>
      <c r="D181" s="979"/>
      <c r="E181" s="979"/>
      <c r="F181" s="980"/>
      <c r="G181" s="238" t="s">
        <v>1946</v>
      </c>
      <c r="H181" s="195" t="s">
        <v>2125</v>
      </c>
      <c r="I181" s="405"/>
      <c r="J181" s="413" t="s">
        <v>1448</v>
      </c>
      <c r="K181" s="427">
        <v>4</v>
      </c>
      <c r="L181" s="403">
        <f>E$173*6000</f>
        <v>18000</v>
      </c>
      <c r="M181" s="432"/>
      <c r="Q181"/>
      <c r="R181"/>
      <c r="S181"/>
      <c r="T181"/>
      <c r="U181"/>
    </row>
    <row r="182" spans="2:29" ht="25" hidden="1" customHeight="1" outlineLevel="1">
      <c r="B182" s="978" t="s">
        <v>2174</v>
      </c>
      <c r="C182" s="979"/>
      <c r="D182" s="979"/>
      <c r="E182" s="979"/>
      <c r="F182" s="980"/>
      <c r="G182" s="238" t="s">
        <v>1541</v>
      </c>
      <c r="H182" s="195" t="s">
        <v>2123</v>
      </c>
      <c r="I182" s="406" t="s">
        <v>2159</v>
      </c>
      <c r="J182" s="308" t="s">
        <v>1454</v>
      </c>
      <c r="K182" s="310">
        <v>5</v>
      </c>
      <c r="L182" s="403">
        <f>E$173*75000</f>
        <v>225000</v>
      </c>
      <c r="M182" s="432"/>
      <c r="Q182"/>
      <c r="R182"/>
      <c r="S182"/>
      <c r="T182"/>
      <c r="U182"/>
    </row>
    <row r="183" spans="2:29" ht="25" hidden="1" customHeight="1" outlineLevel="1" thickBot="1">
      <c r="B183" s="953"/>
      <c r="C183" s="954"/>
      <c r="D183" s="954"/>
      <c r="E183" s="954"/>
      <c r="F183" s="955"/>
      <c r="G183" s="405"/>
      <c r="H183" s="385" t="s">
        <v>2124</v>
      </c>
      <c r="I183" s="405"/>
      <c r="J183" s="511" t="s">
        <v>1449</v>
      </c>
      <c r="K183" s="512">
        <v>3</v>
      </c>
      <c r="L183" s="502">
        <f>E$173*E$175*M183</f>
        <v>0</v>
      </c>
      <c r="M183" s="401">
        <v>0</v>
      </c>
      <c r="Q183"/>
      <c r="R183"/>
      <c r="S183"/>
      <c r="T183"/>
      <c r="U183"/>
    </row>
    <row r="184" spans="2:29" ht="24" customHeight="1" collapsed="1">
      <c r="B184" s="917" t="str">
        <f>Languages!C$287</f>
        <v>Training facility</v>
      </c>
      <c r="C184" s="921"/>
      <c r="D184" s="579" t="s">
        <v>2178</v>
      </c>
      <c r="E184" s="933">
        <v>1</v>
      </c>
      <c r="F184" s="934"/>
      <c r="G184" s="951" t="str">
        <f>G$13</f>
        <v>Whole Asset or Building</v>
      </c>
      <c r="H184" s="967" t="s">
        <v>2124</v>
      </c>
      <c r="I184" s="501" t="s">
        <v>2103</v>
      </c>
      <c r="J184" s="927" t="s">
        <v>2212</v>
      </c>
      <c r="K184" s="929">
        <f>SUM(K187:K190)/4</f>
        <v>3</v>
      </c>
      <c r="L184" s="947">
        <f>SUM(L187:L190)/1000000</f>
        <v>0.13200000000000001</v>
      </c>
      <c r="M184" s="962" t="str">
        <f>M$13</f>
        <v>million Euro</v>
      </c>
      <c r="Q184"/>
      <c r="R184"/>
      <c r="S184"/>
      <c r="T184"/>
      <c r="U184"/>
    </row>
    <row r="185" spans="2:29" ht="21" customHeight="1" thickBot="1">
      <c r="B185" s="919"/>
      <c r="C185" s="922"/>
      <c r="D185" s="550" t="s">
        <v>1555</v>
      </c>
      <c r="E185" s="944">
        <f>E184*E186</f>
        <v>3000</v>
      </c>
      <c r="F185" s="932"/>
      <c r="G185" s="952"/>
      <c r="H185" s="968"/>
      <c r="I185" s="538" t="s">
        <v>2115</v>
      </c>
      <c r="J185" s="928"/>
      <c r="K185" s="930"/>
      <c r="L185" s="948"/>
      <c r="M185" s="963"/>
      <c r="Q185"/>
      <c r="R185"/>
      <c r="S185"/>
      <c r="T185"/>
      <c r="U185"/>
    </row>
    <row r="186" spans="2:29" ht="25" hidden="1" customHeight="1" outlineLevel="1">
      <c r="B186" s="915"/>
      <c r="C186" s="916"/>
      <c r="D186" s="507" t="s">
        <v>1554</v>
      </c>
      <c r="E186" s="336">
        <v>3000</v>
      </c>
      <c r="F186" s="496" t="s">
        <v>1528</v>
      </c>
      <c r="G186" s="461" t="str">
        <f>G$15</f>
        <v>Components</v>
      </c>
      <c r="H186" s="330" t="s">
        <v>2250</v>
      </c>
      <c r="I186" s="497" t="s">
        <v>2141</v>
      </c>
      <c r="J186" s="351" t="str">
        <f>Languages!$K$185</f>
        <v>Action required</v>
      </c>
      <c r="K186" s="362"/>
      <c r="L186" s="498" t="s">
        <v>2144</v>
      </c>
      <c r="M186" s="384" t="s">
        <v>2143</v>
      </c>
      <c r="Q186"/>
      <c r="R186"/>
      <c r="S186"/>
      <c r="T186"/>
      <c r="U186"/>
    </row>
    <row r="187" spans="2:29" ht="25" hidden="1" customHeight="1" outlineLevel="1">
      <c r="B187" s="953"/>
      <c r="C187" s="954"/>
      <c r="D187" s="954"/>
      <c r="E187" s="954"/>
      <c r="F187" s="955"/>
      <c r="G187" s="238" t="s">
        <v>1983</v>
      </c>
      <c r="H187" s="333" t="s">
        <v>2124</v>
      </c>
      <c r="I187" s="404"/>
      <c r="J187" s="195" t="s">
        <v>1449</v>
      </c>
      <c r="K187" s="167">
        <v>3</v>
      </c>
      <c r="L187" s="390">
        <f>E$184*E$186*M187</f>
        <v>33000</v>
      </c>
      <c r="M187" s="345">
        <v>11</v>
      </c>
      <c r="Q187"/>
      <c r="R187"/>
      <c r="S187"/>
      <c r="T187"/>
      <c r="U187"/>
    </row>
    <row r="188" spans="2:29" ht="25" hidden="1" customHeight="1" outlineLevel="1">
      <c r="B188" s="953"/>
      <c r="C188" s="954"/>
      <c r="D188" s="954"/>
      <c r="E188" s="954"/>
      <c r="F188" s="955"/>
      <c r="G188" s="238" t="s">
        <v>1540</v>
      </c>
      <c r="H188" s="333" t="s">
        <v>2124</v>
      </c>
      <c r="I188" s="405"/>
      <c r="J188" s="195" t="s">
        <v>2113</v>
      </c>
      <c r="K188" s="167">
        <v>3</v>
      </c>
      <c r="L188" s="390">
        <f t="shared" ref="L188:L190" si="14">E$184*E$186*M188</f>
        <v>45000</v>
      </c>
      <c r="M188" s="345">
        <v>15</v>
      </c>
      <c r="Q188"/>
      <c r="R188"/>
      <c r="S188"/>
      <c r="T188"/>
      <c r="U188"/>
    </row>
    <row r="189" spans="2:29" ht="25" hidden="1" customHeight="1" outlineLevel="1">
      <c r="B189" s="953"/>
      <c r="C189" s="954"/>
      <c r="D189" s="954"/>
      <c r="E189" s="954"/>
      <c r="F189" s="955"/>
      <c r="G189" s="238" t="s">
        <v>2038</v>
      </c>
      <c r="H189" s="333" t="s">
        <v>2124</v>
      </c>
      <c r="I189" s="405"/>
      <c r="J189" s="195" t="s">
        <v>1454</v>
      </c>
      <c r="K189" s="167">
        <v>3</v>
      </c>
      <c r="L189" s="390">
        <f t="shared" si="14"/>
        <v>54000</v>
      </c>
      <c r="M189" s="345">
        <v>18</v>
      </c>
      <c r="Q189"/>
      <c r="R189"/>
      <c r="S189"/>
      <c r="T189"/>
      <c r="U189"/>
    </row>
    <row r="190" spans="2:29" ht="25" hidden="1" customHeight="1" outlineLevel="1" thickBot="1">
      <c r="B190" s="953"/>
      <c r="C190" s="954"/>
      <c r="D190" s="954"/>
      <c r="E190" s="954"/>
      <c r="F190" s="955"/>
      <c r="G190" s="407"/>
      <c r="H190" s="333" t="s">
        <v>2124</v>
      </c>
      <c r="I190" s="405"/>
      <c r="J190" s="195" t="s">
        <v>1473</v>
      </c>
      <c r="K190" s="167">
        <v>3</v>
      </c>
      <c r="L190" s="390">
        <f t="shared" si="14"/>
        <v>0</v>
      </c>
      <c r="M190" s="345">
        <v>0</v>
      </c>
      <c r="Q190"/>
      <c r="R190"/>
      <c r="S190"/>
      <c r="T190"/>
      <c r="U190"/>
    </row>
    <row r="191" spans="2:29" ht="15" customHeight="1" collapsed="1" thickBot="1">
      <c r="B191" s="163" t="str">
        <f>$B$29</f>
        <v>International Initiative for Sustainable Built Environment</v>
      </c>
      <c r="C191" s="163"/>
      <c r="D191" s="163"/>
      <c r="E191" s="163"/>
      <c r="F191" s="163"/>
      <c r="G191" s="165"/>
      <c r="H191" s="12"/>
      <c r="I191" s="165"/>
      <c r="J191" s="12"/>
      <c r="K191" s="12"/>
      <c r="L191" s="12"/>
      <c r="M191" s="12"/>
    </row>
    <row r="192" spans="2:29" s="4" customFormat="1" ht="30" customHeight="1" thickBot="1">
      <c r="B192" s="765" t="str">
        <f>Settings!$B$9</f>
        <v>Damage Assessments for Sustainable Reconstruction in Ukraine</v>
      </c>
      <c r="C192" s="766"/>
      <c r="D192" s="766"/>
      <c r="E192" s="766"/>
      <c r="F192" s="766"/>
      <c r="G192" s="766"/>
      <c r="H192" s="966"/>
      <c r="I192" s="935" t="str">
        <f>I$2</f>
        <v>Irpin Urban Area</v>
      </c>
      <c r="J192" s="936"/>
      <c r="K192" s="937"/>
      <c r="L192" s="173" t="str">
        <f>L$2</f>
        <v>27Jan23</v>
      </c>
      <c r="M192" s="157">
        <v>10</v>
      </c>
      <c r="N192"/>
      <c r="O192"/>
      <c r="P192"/>
      <c r="Q192" s="2"/>
      <c r="S192" s="10"/>
      <c r="V192"/>
      <c r="W192"/>
      <c r="X192"/>
      <c r="Y192"/>
      <c r="Z192"/>
      <c r="AA192"/>
      <c r="AB192"/>
      <c r="AC192"/>
    </row>
    <row r="193" spans="2:29" s="4" customFormat="1" ht="27" customHeight="1">
      <c r="B193" s="938" t="str">
        <f>Languages!$C$281&amp;" 3"</f>
        <v>Education Facilities 3</v>
      </c>
      <c r="C193" s="939"/>
      <c r="D193" s="787" t="str">
        <f>Languages!$N$176</f>
        <v>Information on main asset &amp; sub-assets</v>
      </c>
      <c r="E193" s="788" t="str">
        <f>Languages!$I$188</f>
        <v>Area and/or quantity assessed</v>
      </c>
      <c r="F193" s="789"/>
      <c r="G193" s="792" t="str">
        <f>Languages!$M$194</f>
        <v>Enter info on type and area / quantity of assets, type and extent of damage.</v>
      </c>
      <c r="H193" s="809"/>
      <c r="I193" s="796" t="s">
        <v>2118</v>
      </c>
      <c r="J193" s="798" t="str">
        <f>Languages!$K$177</f>
        <v>Approx. repair costs, priority 4 &amp; 5 assets, m. Euro</v>
      </c>
      <c r="K193" s="799"/>
      <c r="L193" s="389">
        <f>(IF(K200&gt;3,L200)+IF(K201&gt;3,L201)+IF(K202&gt;3,L202)+IF(K203&gt;3,L203)+IF(K204&gt;3,L204)+IF(K205&gt;3,L205)+IF(K206&gt;3,L206)+IF(K207&gt;3,L207)+IF(K208&gt;3,L208)+IF(K209&gt;3,L209)+IF(K210&gt;3,L210)+IF(K212&gt;3,L212))/1000000</f>
        <v>12.795</v>
      </c>
      <c r="M193" s="259" t="s">
        <v>1966</v>
      </c>
      <c r="N193"/>
      <c r="O193"/>
      <c r="P193"/>
      <c r="Q193" s="2"/>
      <c r="R193"/>
      <c r="S193"/>
      <c r="V193"/>
      <c r="W193"/>
      <c r="X193"/>
      <c r="Y193"/>
      <c r="Z193"/>
      <c r="AA193"/>
      <c r="AB193"/>
      <c r="AC193"/>
    </row>
    <row r="194" spans="2:29" ht="27" customHeight="1">
      <c r="B194" s="940"/>
      <c r="C194" s="941"/>
      <c r="D194" s="768"/>
      <c r="E194" s="790"/>
      <c r="F194" s="791"/>
      <c r="G194" s="794"/>
      <c r="H194" s="810"/>
      <c r="I194" s="797"/>
      <c r="J194" s="852" t="str">
        <f>Languages!$K$176</f>
        <v>Approx. total repair costs, m. Euro</v>
      </c>
      <c r="K194" s="853"/>
      <c r="L194" s="264">
        <f>SUM(L200:L213)/1000000</f>
        <v>24.099</v>
      </c>
      <c r="M194" s="260" t="s">
        <v>1966</v>
      </c>
      <c r="O194"/>
    </row>
    <row r="195" spans="2:29" ht="20" customHeight="1">
      <c r="B195" s="940"/>
      <c r="C195" s="941"/>
      <c r="D195" s="768"/>
      <c r="E195" s="802" t="s">
        <v>1546</v>
      </c>
      <c r="F195" s="769" t="str">
        <f>Languages!$N$178</f>
        <v>Unit type</v>
      </c>
      <c r="G195" s="769" t="s">
        <v>2122</v>
      </c>
      <c r="H195" s="769" t="s">
        <v>2132</v>
      </c>
      <c r="I195" s="331" t="s">
        <v>2117</v>
      </c>
      <c r="J195" s="771" t="str">
        <f>Languages!$K$178</f>
        <v>Actions</v>
      </c>
      <c r="K195" s="772"/>
      <c r="L195" s="945" t="str">
        <f>Languages!$M$176</f>
        <v>Est. repair cost</v>
      </c>
      <c r="M195" s="946"/>
      <c r="O195"/>
    </row>
    <row r="196" spans="2:29" ht="28" customHeight="1" thickBot="1">
      <c r="B196" s="940"/>
      <c r="C196" s="941"/>
      <c r="D196" s="768"/>
      <c r="E196" s="803"/>
      <c r="F196" s="770"/>
      <c r="G196" s="770"/>
      <c r="H196" s="770"/>
      <c r="I196" s="330" t="str">
        <f>Languages!$E$190</f>
        <v>Social Impact level</v>
      </c>
      <c r="J196" s="492" t="str">
        <f>Languages!$K$185</f>
        <v>Action required</v>
      </c>
      <c r="K196" s="504" t="str">
        <f>Languages!$G$193</f>
        <v>Priority 
1 - 5</v>
      </c>
      <c r="L196" s="493" t="str">
        <f>Languages!$M$177</f>
        <v>Total m. Euro</v>
      </c>
      <c r="M196" s="494" t="str">
        <f>Languages!$M$178&amp;" per m2"</f>
        <v>Est. Euro per m2</v>
      </c>
      <c r="O196"/>
    </row>
    <row r="197" spans="2:29" ht="24" customHeight="1">
      <c r="B197" s="923" t="s">
        <v>2153</v>
      </c>
      <c r="C197" s="924"/>
      <c r="D197" s="579" t="s">
        <v>2178</v>
      </c>
      <c r="E197" s="933">
        <v>1</v>
      </c>
      <c r="F197" s="934"/>
      <c r="G197" s="951" t="str">
        <f>G$13</f>
        <v>Whole Asset or Building</v>
      </c>
      <c r="H197" s="967" t="s">
        <v>2124</v>
      </c>
      <c r="I197" s="501" t="s">
        <v>2103</v>
      </c>
      <c r="J197" s="927" t="s">
        <v>2212</v>
      </c>
      <c r="K197" s="929">
        <f>SUM(K200:K213)/14</f>
        <v>3.5714285714285716</v>
      </c>
      <c r="L197" s="947">
        <f>SUM(L200:L213)/1000000</f>
        <v>24.099</v>
      </c>
      <c r="M197" s="962" t="str">
        <f>M$13</f>
        <v>million Euro</v>
      </c>
      <c r="Q197"/>
      <c r="R197"/>
      <c r="S197"/>
      <c r="T197"/>
      <c r="U197"/>
    </row>
    <row r="198" spans="2:29" ht="24" customHeight="1" thickBot="1">
      <c r="B198" s="925"/>
      <c r="C198" s="926"/>
      <c r="D198" s="550" t="s">
        <v>1555</v>
      </c>
      <c r="E198" s="944">
        <f>E197*E199</f>
        <v>40000</v>
      </c>
      <c r="F198" s="932"/>
      <c r="G198" s="952"/>
      <c r="H198" s="968"/>
      <c r="I198" s="538" t="s">
        <v>2115</v>
      </c>
      <c r="J198" s="928"/>
      <c r="K198" s="930"/>
      <c r="L198" s="948"/>
      <c r="M198" s="963"/>
      <c r="Q198"/>
      <c r="R198"/>
      <c r="S198"/>
      <c r="T198"/>
      <c r="U198"/>
    </row>
    <row r="199" spans="2:29" ht="25" hidden="1" customHeight="1" outlineLevel="1">
      <c r="B199" s="915"/>
      <c r="C199" s="916"/>
      <c r="D199" s="507" t="s">
        <v>1554</v>
      </c>
      <c r="E199" s="358">
        <v>40000</v>
      </c>
      <c r="F199" s="171" t="s">
        <v>1528</v>
      </c>
      <c r="G199" s="461" t="str">
        <f>G$15</f>
        <v>Components</v>
      </c>
      <c r="H199" s="330" t="s">
        <v>2250</v>
      </c>
      <c r="I199" s="497" t="s">
        <v>2141</v>
      </c>
      <c r="J199" s="351" t="str">
        <f>Languages!$K$185</f>
        <v>Action required</v>
      </c>
      <c r="K199" s="362"/>
      <c r="L199" s="498" t="s">
        <v>2144</v>
      </c>
      <c r="M199" s="384" t="s">
        <v>2143</v>
      </c>
      <c r="Q199"/>
      <c r="R199"/>
      <c r="S199"/>
      <c r="T199"/>
      <c r="U199"/>
    </row>
    <row r="200" spans="2:29" ht="25" hidden="1" customHeight="1" outlineLevel="1">
      <c r="B200" s="953" t="s">
        <v>2175</v>
      </c>
      <c r="C200" s="954"/>
      <c r="D200" s="973"/>
      <c r="E200" s="973"/>
      <c r="F200" s="974"/>
      <c r="G200" s="238" t="s">
        <v>1983</v>
      </c>
      <c r="H200" s="195" t="s">
        <v>2124</v>
      </c>
      <c r="I200" s="404"/>
      <c r="J200" s="195" t="s">
        <v>1449</v>
      </c>
      <c r="K200" s="167">
        <v>5</v>
      </c>
      <c r="L200" s="383">
        <f>E$199*M200</f>
        <v>1800000</v>
      </c>
      <c r="M200" s="345">
        <v>45</v>
      </c>
      <c r="Q200"/>
      <c r="R200"/>
      <c r="S200"/>
      <c r="T200"/>
      <c r="U200"/>
    </row>
    <row r="201" spans="2:29" ht="25" hidden="1" customHeight="1" outlineLevel="1">
      <c r="B201" s="953"/>
      <c r="C201" s="954"/>
      <c r="D201" s="954"/>
      <c r="E201" s="954"/>
      <c r="F201" s="955"/>
      <c r="G201" s="238" t="s">
        <v>1543</v>
      </c>
      <c r="H201" s="195" t="s">
        <v>2127</v>
      </c>
      <c r="I201" s="405"/>
      <c r="J201" s="195" t="s">
        <v>1449</v>
      </c>
      <c r="K201" s="167">
        <v>5</v>
      </c>
      <c r="L201" s="383">
        <f t="shared" ref="L201:L205" si="15">E$199*M201</f>
        <v>1320000</v>
      </c>
      <c r="M201" s="345">
        <v>33</v>
      </c>
      <c r="Q201"/>
      <c r="R201"/>
      <c r="S201"/>
      <c r="T201"/>
      <c r="U201"/>
    </row>
    <row r="202" spans="2:29" ht="25" hidden="1" customHeight="1" outlineLevel="1">
      <c r="B202" s="953"/>
      <c r="C202" s="954"/>
      <c r="D202" s="954"/>
      <c r="E202" s="954"/>
      <c r="F202" s="955"/>
      <c r="G202" s="238" t="s">
        <v>1540</v>
      </c>
      <c r="H202" s="195" t="s">
        <v>2124</v>
      </c>
      <c r="I202" s="405"/>
      <c r="J202" s="195" t="s">
        <v>1449</v>
      </c>
      <c r="K202" s="167">
        <v>3</v>
      </c>
      <c r="L202" s="383">
        <f t="shared" si="15"/>
        <v>2400000</v>
      </c>
      <c r="M202" s="345">
        <v>60</v>
      </c>
      <c r="Q202"/>
      <c r="R202"/>
      <c r="S202"/>
      <c r="T202"/>
      <c r="U202"/>
    </row>
    <row r="203" spans="2:29" ht="25" hidden="1" customHeight="1" outlineLevel="1">
      <c r="B203" s="953"/>
      <c r="C203" s="954"/>
      <c r="D203" s="954"/>
      <c r="E203" s="954"/>
      <c r="F203" s="955"/>
      <c r="G203" s="238" t="s">
        <v>2038</v>
      </c>
      <c r="H203" s="195" t="s">
        <v>2124</v>
      </c>
      <c r="I203" s="405"/>
      <c r="J203" s="195" t="s">
        <v>1473</v>
      </c>
      <c r="K203" s="167">
        <v>4</v>
      </c>
      <c r="L203" s="383">
        <f t="shared" si="15"/>
        <v>4800000</v>
      </c>
      <c r="M203" s="345">
        <v>120</v>
      </c>
      <c r="Q203"/>
      <c r="R203"/>
      <c r="S203"/>
      <c r="T203"/>
      <c r="U203"/>
    </row>
    <row r="204" spans="2:29" ht="25" hidden="1" customHeight="1" outlineLevel="1">
      <c r="B204" s="1003"/>
      <c r="C204" s="1004"/>
      <c r="D204" s="1004"/>
      <c r="E204" s="1004"/>
      <c r="F204" s="1005"/>
      <c r="G204" s="238" t="s">
        <v>2154</v>
      </c>
      <c r="H204" s="195" t="s">
        <v>2124</v>
      </c>
      <c r="I204" s="405"/>
      <c r="J204" s="195" t="s">
        <v>1446</v>
      </c>
      <c r="K204" s="167">
        <v>4</v>
      </c>
      <c r="L204" s="383">
        <f t="shared" si="15"/>
        <v>4800000</v>
      </c>
      <c r="M204" s="345">
        <v>120</v>
      </c>
      <c r="Q204"/>
      <c r="R204"/>
      <c r="S204"/>
      <c r="T204"/>
      <c r="U204"/>
    </row>
    <row r="205" spans="2:29" ht="25" hidden="1" customHeight="1" outlineLevel="1">
      <c r="B205" s="953"/>
      <c r="C205" s="954"/>
      <c r="D205" s="954"/>
      <c r="E205" s="954"/>
      <c r="F205" s="955"/>
      <c r="G205" s="238" t="s">
        <v>2036</v>
      </c>
      <c r="H205" s="195" t="s">
        <v>2124</v>
      </c>
      <c r="I205" s="405"/>
      <c r="J205" s="195" t="s">
        <v>1449</v>
      </c>
      <c r="K205" s="167">
        <v>3</v>
      </c>
      <c r="L205" s="383">
        <f t="shared" si="15"/>
        <v>3520000</v>
      </c>
      <c r="M205" s="345">
        <v>88</v>
      </c>
      <c r="Q205"/>
      <c r="R205"/>
      <c r="S205"/>
      <c r="T205"/>
      <c r="U205"/>
    </row>
    <row r="206" spans="2:29" ht="25" hidden="1" customHeight="1" outlineLevel="1">
      <c r="B206" s="953"/>
      <c r="C206" s="954"/>
      <c r="D206" s="954"/>
      <c r="E206" s="954"/>
      <c r="F206" s="955"/>
      <c r="G206" s="153" t="s">
        <v>2015</v>
      </c>
      <c r="H206" s="195" t="s">
        <v>2127</v>
      </c>
      <c r="I206" s="405"/>
      <c r="J206" s="195" t="s">
        <v>1473</v>
      </c>
      <c r="K206" s="167">
        <v>3</v>
      </c>
      <c r="L206" s="383">
        <f t="shared" ref="L206:L210" si="16">E$199*M206</f>
        <v>3000000</v>
      </c>
      <c r="M206" s="345">
        <v>75</v>
      </c>
      <c r="Q206"/>
      <c r="R206"/>
      <c r="S206"/>
      <c r="T206"/>
      <c r="U206"/>
    </row>
    <row r="207" spans="2:29" ht="25" hidden="1" customHeight="1" outlineLevel="1">
      <c r="B207" s="953"/>
      <c r="C207" s="954"/>
      <c r="D207" s="954"/>
      <c r="E207" s="954"/>
      <c r="F207" s="955"/>
      <c r="G207" s="153" t="s">
        <v>2016</v>
      </c>
      <c r="H207" s="195" t="s">
        <v>2125</v>
      </c>
      <c r="I207" s="405"/>
      <c r="J207" s="195" t="s">
        <v>1473</v>
      </c>
      <c r="K207" s="167">
        <v>3</v>
      </c>
      <c r="L207" s="383">
        <f t="shared" si="16"/>
        <v>1200000</v>
      </c>
      <c r="M207" s="345">
        <v>30</v>
      </c>
      <c r="Q207"/>
      <c r="R207"/>
      <c r="S207"/>
      <c r="T207"/>
      <c r="U207"/>
    </row>
    <row r="208" spans="2:29" ht="25" hidden="1" customHeight="1" outlineLevel="1">
      <c r="B208" s="953"/>
      <c r="C208" s="954"/>
      <c r="D208" s="954"/>
      <c r="E208" s="954"/>
      <c r="F208" s="955"/>
      <c r="G208" s="153" t="s">
        <v>2017</v>
      </c>
      <c r="H208" s="195" t="s">
        <v>2124</v>
      </c>
      <c r="I208" s="405"/>
      <c r="J208" s="195" t="s">
        <v>1458</v>
      </c>
      <c r="K208" s="167">
        <v>3</v>
      </c>
      <c r="L208" s="383">
        <f t="shared" si="16"/>
        <v>440000</v>
      </c>
      <c r="M208" s="345">
        <v>11</v>
      </c>
      <c r="Q208"/>
      <c r="R208"/>
      <c r="S208"/>
      <c r="T208"/>
      <c r="U208"/>
    </row>
    <row r="209" spans="2:29" ht="25" hidden="1" customHeight="1" outlineLevel="1">
      <c r="B209" s="953"/>
      <c r="C209" s="954"/>
      <c r="D209" s="954"/>
      <c r="E209" s="954"/>
      <c r="F209" s="955"/>
      <c r="G209" s="153" t="s">
        <v>2018</v>
      </c>
      <c r="H209" s="195" t="s">
        <v>2123</v>
      </c>
      <c r="I209" s="405"/>
      <c r="J209" s="195" t="s">
        <v>1449</v>
      </c>
      <c r="K209" s="167">
        <v>3</v>
      </c>
      <c r="L209" s="383">
        <f t="shared" si="16"/>
        <v>560000</v>
      </c>
      <c r="M209" s="345">
        <v>14</v>
      </c>
      <c r="Q209"/>
      <c r="R209"/>
      <c r="S209"/>
      <c r="T209"/>
      <c r="U209"/>
    </row>
    <row r="210" spans="2:29" ht="25" hidden="1" customHeight="1" outlineLevel="1">
      <c r="B210" s="953"/>
      <c r="C210" s="954"/>
      <c r="D210" s="954"/>
      <c r="E210" s="954"/>
      <c r="F210" s="955"/>
      <c r="G210" s="153" t="s">
        <v>2019</v>
      </c>
      <c r="H210" s="195" t="s">
        <v>2123</v>
      </c>
      <c r="I210" s="405"/>
      <c r="J210" s="195" t="s">
        <v>1454</v>
      </c>
      <c r="K210" s="167">
        <v>3</v>
      </c>
      <c r="L210" s="383">
        <f t="shared" si="16"/>
        <v>160000</v>
      </c>
      <c r="M210" s="345">
        <v>4</v>
      </c>
      <c r="Q210"/>
      <c r="R210"/>
      <c r="S210"/>
      <c r="T210"/>
      <c r="U210"/>
    </row>
    <row r="211" spans="2:29" ht="25" hidden="1" customHeight="1" outlineLevel="1">
      <c r="B211" s="953" t="s">
        <v>2176</v>
      </c>
      <c r="C211" s="954"/>
      <c r="D211" s="954"/>
      <c r="E211" s="954"/>
      <c r="F211" s="955"/>
      <c r="G211" s="238" t="s">
        <v>1946</v>
      </c>
      <c r="H211" s="195" t="s">
        <v>2124</v>
      </c>
      <c r="I211" s="405"/>
      <c r="J211" s="195" t="s">
        <v>1449</v>
      </c>
      <c r="K211" s="167">
        <v>3</v>
      </c>
      <c r="L211" s="403">
        <v>24000</v>
      </c>
      <c r="M211" s="432"/>
      <c r="Q211"/>
      <c r="R211"/>
      <c r="S211"/>
      <c r="T211"/>
      <c r="U211"/>
    </row>
    <row r="212" spans="2:29" ht="25" hidden="1" customHeight="1" outlineLevel="1">
      <c r="B212" s="978" t="s">
        <v>2174</v>
      </c>
      <c r="C212" s="979"/>
      <c r="D212" s="979"/>
      <c r="E212" s="979"/>
      <c r="F212" s="980"/>
      <c r="G212" s="238" t="s">
        <v>1541</v>
      </c>
      <c r="H212" s="195" t="s">
        <v>2124</v>
      </c>
      <c r="I212" s="406" t="s">
        <v>2159</v>
      </c>
      <c r="J212" s="308" t="s">
        <v>1454</v>
      </c>
      <c r="K212" s="310">
        <v>5</v>
      </c>
      <c r="L212" s="403">
        <v>75000</v>
      </c>
      <c r="M212" s="432"/>
      <c r="Q212"/>
      <c r="R212"/>
      <c r="S212"/>
      <c r="T212"/>
      <c r="U212"/>
    </row>
    <row r="213" spans="2:29" ht="25" hidden="1" customHeight="1" outlineLevel="1" thickBot="1">
      <c r="B213" s="953"/>
      <c r="C213" s="954"/>
      <c r="D213" s="954"/>
      <c r="E213" s="954"/>
      <c r="F213" s="955"/>
      <c r="G213" s="153"/>
      <c r="H213" s="153"/>
      <c r="I213" s="407"/>
      <c r="J213" s="195"/>
      <c r="K213" s="167">
        <v>3</v>
      </c>
      <c r="L213" s="254"/>
      <c r="M213" s="355"/>
      <c r="Q213"/>
      <c r="R213"/>
      <c r="S213"/>
      <c r="T213"/>
      <c r="U213"/>
    </row>
    <row r="214" spans="2:29" ht="15" customHeight="1" collapsed="1" thickBot="1">
      <c r="B214" s="163" t="str">
        <f>$B$29</f>
        <v>International Initiative for Sustainable Built Environment</v>
      </c>
      <c r="C214" s="163"/>
      <c r="D214" s="163"/>
      <c r="E214" s="163"/>
      <c r="F214" s="163"/>
      <c r="G214" s="165"/>
      <c r="H214" s="12"/>
      <c r="I214" s="165"/>
      <c r="J214" s="12"/>
      <c r="K214" s="12"/>
      <c r="L214" s="12"/>
      <c r="M214" s="12"/>
    </row>
    <row r="215" spans="2:29" s="4" customFormat="1" ht="30" customHeight="1" thickBot="1">
      <c r="B215" s="765" t="str">
        <f>Settings!$B$9</f>
        <v>Damage Assessments for Sustainable Reconstruction in Ukraine</v>
      </c>
      <c r="C215" s="766"/>
      <c r="D215" s="766"/>
      <c r="E215" s="766"/>
      <c r="F215" s="766"/>
      <c r="G215" s="766"/>
      <c r="H215" s="966"/>
      <c r="I215" s="935" t="str">
        <f>I$2</f>
        <v>Irpin Urban Area</v>
      </c>
      <c r="J215" s="936"/>
      <c r="K215" s="937"/>
      <c r="L215" s="173" t="str">
        <f>L$2</f>
        <v>27Jan23</v>
      </c>
      <c r="M215" s="157">
        <v>11</v>
      </c>
      <c r="N215"/>
      <c r="O215"/>
      <c r="P215"/>
      <c r="Q215" s="2"/>
      <c r="S215" s="10"/>
      <c r="V215"/>
      <c r="W215"/>
      <c r="X215"/>
      <c r="Y215"/>
      <c r="Z215"/>
      <c r="AA215"/>
      <c r="AB215"/>
      <c r="AC215"/>
    </row>
    <row r="216" spans="2:29" s="4" customFormat="1" ht="27" customHeight="1">
      <c r="B216" s="938" t="str">
        <f>Languages!$C$281&amp;" 4"</f>
        <v>Education Facilities 4</v>
      </c>
      <c r="C216" s="939"/>
      <c r="D216" s="787" t="str">
        <f>Languages!$N$176</f>
        <v>Information on main asset &amp; sub-assets</v>
      </c>
      <c r="E216" s="788" t="str">
        <f>Languages!$I$188</f>
        <v>Area and/or quantity assessed</v>
      </c>
      <c r="F216" s="789"/>
      <c r="G216" s="792" t="str">
        <f>Languages!$M$194</f>
        <v>Enter info on type and area / quantity of assets, type and extent of damage.</v>
      </c>
      <c r="H216" s="809"/>
      <c r="I216" s="796" t="s">
        <v>2118</v>
      </c>
      <c r="J216" s="798" t="str">
        <f>Languages!$K$177</f>
        <v>Approx. repair costs, priority 4 &amp; 5 assets, m. Euro</v>
      </c>
      <c r="K216" s="799"/>
      <c r="L216" s="389">
        <f>IF(K220&gt;3,L220)+IF(K229&gt;3,L229)</f>
        <v>1.43</v>
      </c>
      <c r="M216" s="259" t="s">
        <v>1966</v>
      </c>
      <c r="N216"/>
      <c r="O216"/>
      <c r="P216"/>
      <c r="Q216" s="2"/>
      <c r="R216"/>
      <c r="S216"/>
      <c r="V216"/>
      <c r="W216"/>
      <c r="X216"/>
      <c r="Y216"/>
      <c r="Z216"/>
      <c r="AA216"/>
      <c r="AB216"/>
      <c r="AC216"/>
    </row>
    <row r="217" spans="2:29" ht="27" customHeight="1">
      <c r="B217" s="940"/>
      <c r="C217" s="941"/>
      <c r="D217" s="768"/>
      <c r="E217" s="790"/>
      <c r="F217" s="791"/>
      <c r="G217" s="794"/>
      <c r="H217" s="810"/>
      <c r="I217" s="797"/>
      <c r="J217" s="852" t="str">
        <f>Languages!$K$176</f>
        <v>Approx. total repair costs, m. Euro</v>
      </c>
      <c r="K217" s="853"/>
      <c r="L217" s="264">
        <f>(L220+L229)</f>
        <v>1.526</v>
      </c>
      <c r="M217" s="260" t="s">
        <v>1966</v>
      </c>
      <c r="O217"/>
    </row>
    <row r="218" spans="2:29" ht="18" customHeight="1">
      <c r="B218" s="940"/>
      <c r="C218" s="941"/>
      <c r="D218" s="768"/>
      <c r="E218" s="802" t="s">
        <v>1546</v>
      </c>
      <c r="F218" s="769" t="str">
        <f>Languages!$N$178</f>
        <v>Unit type</v>
      </c>
      <c r="G218" s="769" t="s">
        <v>2122</v>
      </c>
      <c r="H218" s="769" t="s">
        <v>2132</v>
      </c>
      <c r="I218" s="331" t="s">
        <v>2117</v>
      </c>
      <c r="J218" s="771" t="str">
        <f>Languages!$K$178</f>
        <v>Actions</v>
      </c>
      <c r="K218" s="772"/>
      <c r="L218" s="945" t="str">
        <f>Languages!$M$176</f>
        <v>Est. repair cost</v>
      </c>
      <c r="M218" s="946"/>
      <c r="O218"/>
    </row>
    <row r="219" spans="2:29" ht="26" customHeight="1" thickBot="1">
      <c r="B219" s="940"/>
      <c r="C219" s="941"/>
      <c r="D219" s="768"/>
      <c r="E219" s="803"/>
      <c r="F219" s="770"/>
      <c r="G219" s="770"/>
      <c r="H219" s="770"/>
      <c r="I219" s="330" t="str">
        <f>Languages!$E$190</f>
        <v>Social Impact level</v>
      </c>
      <c r="J219" s="492" t="str">
        <f>Languages!$K$185</f>
        <v>Action required</v>
      </c>
      <c r="K219" s="504" t="str">
        <f>Languages!$G$193</f>
        <v>Priority 
1 - 5</v>
      </c>
      <c r="L219" s="493" t="str">
        <f>Languages!$M$177</f>
        <v>Total m. Euro</v>
      </c>
      <c r="M219" s="494" t="str">
        <f>Languages!$M$178&amp;" per m2"</f>
        <v>Est. Euro per m2</v>
      </c>
      <c r="O219"/>
    </row>
    <row r="220" spans="2:29" ht="24" customHeight="1">
      <c r="B220" s="917" t="str">
        <f>Languages!C$286</f>
        <v>College or university</v>
      </c>
      <c r="C220" s="921"/>
      <c r="D220" s="579" t="s">
        <v>2178</v>
      </c>
      <c r="E220" s="933">
        <v>1</v>
      </c>
      <c r="F220" s="934"/>
      <c r="G220" s="951" t="str">
        <f>G$13</f>
        <v>Whole Asset or Building</v>
      </c>
      <c r="H220" s="967" t="s">
        <v>2124</v>
      </c>
      <c r="I220" s="501" t="s">
        <v>2103</v>
      </c>
      <c r="J220" s="927" t="s">
        <v>2212</v>
      </c>
      <c r="K220" s="929">
        <f>SUM(K223:K228)/6</f>
        <v>3.3333333333333335</v>
      </c>
      <c r="L220" s="947">
        <f>SUM(L223:L228)/1000000</f>
        <v>1.43</v>
      </c>
      <c r="M220" s="962" t="str">
        <f>M$13</f>
        <v>million Euro</v>
      </c>
      <c r="Q220"/>
      <c r="R220"/>
      <c r="S220"/>
      <c r="T220"/>
      <c r="U220"/>
    </row>
    <row r="221" spans="2:29" ht="21" customHeight="1" thickBot="1">
      <c r="B221" s="919"/>
      <c r="C221" s="922"/>
      <c r="D221" s="550" t="s">
        <v>1555</v>
      </c>
      <c r="E221" s="944">
        <f>E220*E222</f>
        <v>26000</v>
      </c>
      <c r="F221" s="932"/>
      <c r="G221" s="952"/>
      <c r="H221" s="968"/>
      <c r="I221" s="538" t="s">
        <v>2115</v>
      </c>
      <c r="J221" s="928"/>
      <c r="K221" s="930"/>
      <c r="L221" s="948"/>
      <c r="M221" s="963"/>
      <c r="Q221"/>
      <c r="R221"/>
      <c r="S221"/>
      <c r="T221"/>
      <c r="U221"/>
    </row>
    <row r="222" spans="2:29" ht="25" hidden="1" customHeight="1" outlineLevel="1">
      <c r="B222" s="915"/>
      <c r="C222" s="916"/>
      <c r="D222" s="507" t="s">
        <v>1554</v>
      </c>
      <c r="E222" s="337">
        <v>26000</v>
      </c>
      <c r="F222" s="171" t="s">
        <v>1528</v>
      </c>
      <c r="G222" s="461" t="str">
        <f>G$15</f>
        <v>Components</v>
      </c>
      <c r="H222" s="330" t="s">
        <v>2250</v>
      </c>
      <c r="I222" s="497" t="s">
        <v>2141</v>
      </c>
      <c r="J222" s="351" t="str">
        <f>Languages!$K$185</f>
        <v>Action required</v>
      </c>
      <c r="K222" s="362"/>
      <c r="L222" s="498" t="s">
        <v>2144</v>
      </c>
      <c r="M222" s="384" t="s">
        <v>2143</v>
      </c>
      <c r="Q222"/>
      <c r="R222"/>
      <c r="S222"/>
      <c r="T222"/>
      <c r="U222"/>
    </row>
    <row r="223" spans="2:29" ht="25" hidden="1" customHeight="1" outlineLevel="1">
      <c r="B223" s="781"/>
      <c r="C223" s="782"/>
      <c r="D223" s="779"/>
      <c r="E223" s="779"/>
      <c r="F223" s="780"/>
      <c r="G223" s="238" t="s">
        <v>1983</v>
      </c>
      <c r="H223" s="333" t="s">
        <v>2124</v>
      </c>
      <c r="I223" s="976"/>
      <c r="J223" s="195" t="s">
        <v>2113</v>
      </c>
      <c r="K223" s="167">
        <v>3</v>
      </c>
      <c r="L223" s="390">
        <f>E$222*M223</f>
        <v>208000</v>
      </c>
      <c r="M223" s="345">
        <v>8</v>
      </c>
      <c r="Q223"/>
      <c r="R223"/>
      <c r="S223"/>
      <c r="T223"/>
      <c r="U223"/>
    </row>
    <row r="224" spans="2:29" ht="25" hidden="1" customHeight="1" outlineLevel="1">
      <c r="B224" s="781"/>
      <c r="C224" s="782"/>
      <c r="D224" s="782"/>
      <c r="E224" s="782"/>
      <c r="F224" s="783"/>
      <c r="G224" s="238" t="s">
        <v>1543</v>
      </c>
      <c r="H224" s="333" t="s">
        <v>2124</v>
      </c>
      <c r="I224" s="977"/>
      <c r="J224" s="195" t="s">
        <v>1473</v>
      </c>
      <c r="K224" s="167">
        <v>3</v>
      </c>
      <c r="L224" s="390">
        <f t="shared" ref="L224:L228" si="17">E$222*M224</f>
        <v>234000</v>
      </c>
      <c r="M224" s="345">
        <v>9</v>
      </c>
      <c r="Q224"/>
      <c r="R224"/>
      <c r="S224"/>
      <c r="T224"/>
      <c r="U224"/>
    </row>
    <row r="225" spans="2:29" ht="25" hidden="1" customHeight="1" outlineLevel="1">
      <c r="B225" s="781"/>
      <c r="C225" s="782"/>
      <c r="D225" s="782"/>
      <c r="E225" s="782"/>
      <c r="F225" s="783"/>
      <c r="G225" s="238" t="s">
        <v>1540</v>
      </c>
      <c r="H225" s="333" t="s">
        <v>2124</v>
      </c>
      <c r="I225" s="977"/>
      <c r="J225" s="195" t="s">
        <v>1454</v>
      </c>
      <c r="K225" s="167">
        <v>4</v>
      </c>
      <c r="L225" s="390">
        <f t="shared" si="17"/>
        <v>286000</v>
      </c>
      <c r="M225" s="345">
        <v>11</v>
      </c>
      <c r="Q225"/>
      <c r="R225"/>
      <c r="S225"/>
      <c r="T225"/>
      <c r="U225"/>
    </row>
    <row r="226" spans="2:29" ht="25" hidden="1" customHeight="1" outlineLevel="1">
      <c r="B226" s="781"/>
      <c r="C226" s="782"/>
      <c r="D226" s="782"/>
      <c r="E226" s="782"/>
      <c r="F226" s="783"/>
      <c r="G226" s="238" t="s">
        <v>2038</v>
      </c>
      <c r="H226" s="333" t="s">
        <v>2124</v>
      </c>
      <c r="I226" s="977"/>
      <c r="J226" s="195" t="s">
        <v>1449</v>
      </c>
      <c r="K226" s="167">
        <v>3</v>
      </c>
      <c r="L226" s="390">
        <f t="shared" si="17"/>
        <v>338000</v>
      </c>
      <c r="M226" s="345">
        <v>13</v>
      </c>
      <c r="Q226"/>
      <c r="R226"/>
      <c r="S226"/>
      <c r="T226"/>
      <c r="U226"/>
    </row>
    <row r="227" spans="2:29" ht="25" hidden="1" customHeight="1" outlineLevel="1">
      <c r="B227" s="781"/>
      <c r="C227" s="782"/>
      <c r="D227" s="782"/>
      <c r="E227" s="782"/>
      <c r="F227" s="783"/>
      <c r="G227" s="238" t="s">
        <v>2154</v>
      </c>
      <c r="H227" s="333" t="s">
        <v>2123</v>
      </c>
      <c r="I227" s="977"/>
      <c r="J227" s="195" t="s">
        <v>1448</v>
      </c>
      <c r="K227" s="167">
        <v>4</v>
      </c>
      <c r="L227" s="390">
        <f t="shared" si="17"/>
        <v>364000</v>
      </c>
      <c r="M227" s="345">
        <v>14</v>
      </c>
      <c r="Q227"/>
      <c r="R227"/>
      <c r="S227"/>
      <c r="T227"/>
      <c r="U227"/>
    </row>
    <row r="228" spans="2:29" ht="25" hidden="1" customHeight="1" outlineLevel="1" thickBot="1">
      <c r="B228" s="773" t="s">
        <v>1990</v>
      </c>
      <c r="C228" s="774"/>
      <c r="D228" s="774"/>
      <c r="E228" s="774"/>
      <c r="F228" s="775"/>
      <c r="G228" s="320"/>
      <c r="H228" s="153"/>
      <c r="I228" s="977"/>
      <c r="J228" s="385"/>
      <c r="K228" s="456">
        <v>3</v>
      </c>
      <c r="L228" s="502">
        <f t="shared" si="17"/>
        <v>0</v>
      </c>
      <c r="M228" s="356">
        <v>0</v>
      </c>
      <c r="Q228"/>
      <c r="R228"/>
      <c r="S228"/>
      <c r="T228"/>
      <c r="U228"/>
    </row>
    <row r="229" spans="2:29" ht="24" customHeight="1" collapsed="1">
      <c r="B229" s="917" t="str">
        <f>Languages!C$287</f>
        <v>Training facility</v>
      </c>
      <c r="C229" s="921"/>
      <c r="D229" s="579" t="s">
        <v>2178</v>
      </c>
      <c r="E229" s="933">
        <v>1</v>
      </c>
      <c r="F229" s="934"/>
      <c r="G229" s="951" t="str">
        <f>G$13</f>
        <v>Whole Asset or Building</v>
      </c>
      <c r="H229" s="967" t="s">
        <v>2124</v>
      </c>
      <c r="I229" s="501" t="s">
        <v>2103</v>
      </c>
      <c r="J229" s="927" t="s">
        <v>2212</v>
      </c>
      <c r="K229" s="929">
        <f>SUM(K232:K236)/5</f>
        <v>3</v>
      </c>
      <c r="L229" s="947">
        <f>SUM(L232:L246)/1000000</f>
        <v>9.6000000000000002E-2</v>
      </c>
      <c r="M229" s="962" t="str">
        <f>M$13</f>
        <v>million Euro</v>
      </c>
      <c r="Q229"/>
      <c r="R229"/>
      <c r="S229"/>
      <c r="T229"/>
      <c r="U229"/>
    </row>
    <row r="230" spans="2:29" ht="20" customHeight="1" thickBot="1">
      <c r="B230" s="919"/>
      <c r="C230" s="922"/>
      <c r="D230" s="550" t="s">
        <v>1555</v>
      </c>
      <c r="E230" s="944">
        <f>E229*E231</f>
        <v>2000</v>
      </c>
      <c r="F230" s="932"/>
      <c r="G230" s="952"/>
      <c r="H230" s="968"/>
      <c r="I230" s="538" t="s">
        <v>2115</v>
      </c>
      <c r="J230" s="928"/>
      <c r="K230" s="930"/>
      <c r="L230" s="948"/>
      <c r="M230" s="963"/>
      <c r="Q230"/>
      <c r="R230"/>
      <c r="S230"/>
      <c r="T230"/>
      <c r="U230"/>
    </row>
    <row r="231" spans="2:29" ht="25" hidden="1" customHeight="1" outlineLevel="1">
      <c r="B231" s="915"/>
      <c r="C231" s="916"/>
      <c r="D231" s="507" t="s">
        <v>1554</v>
      </c>
      <c r="E231" s="337">
        <v>2000</v>
      </c>
      <c r="F231" s="171" t="s">
        <v>1528</v>
      </c>
      <c r="G231" s="461" t="str">
        <f>G$15</f>
        <v>Components</v>
      </c>
      <c r="H231" s="330" t="s">
        <v>2250</v>
      </c>
      <c r="I231" s="497" t="s">
        <v>2141</v>
      </c>
      <c r="J231" s="351" t="str">
        <f>Languages!$K$185</f>
        <v>Action required</v>
      </c>
      <c r="K231" s="362"/>
      <c r="L231" s="498" t="s">
        <v>2144</v>
      </c>
      <c r="M231" s="384" t="s">
        <v>2143</v>
      </c>
      <c r="Q231"/>
      <c r="R231"/>
      <c r="S231"/>
      <c r="T231"/>
      <c r="U231"/>
    </row>
    <row r="232" spans="2:29" ht="25" hidden="1" customHeight="1" outlineLevel="1">
      <c r="B232" s="781"/>
      <c r="C232" s="782"/>
      <c r="D232" s="779"/>
      <c r="E232" s="779"/>
      <c r="F232" s="780"/>
      <c r="G232" s="238" t="s">
        <v>1543</v>
      </c>
      <c r="H232" s="333" t="s">
        <v>2124</v>
      </c>
      <c r="I232" s="736"/>
      <c r="J232" s="195" t="s">
        <v>1473</v>
      </c>
      <c r="K232" s="167">
        <v>3</v>
      </c>
      <c r="L232" s="390">
        <f>E$231*M232</f>
        <v>18000</v>
      </c>
      <c r="M232" s="345">
        <v>9</v>
      </c>
      <c r="Q232"/>
      <c r="R232"/>
      <c r="S232"/>
      <c r="T232"/>
      <c r="U232"/>
    </row>
    <row r="233" spans="2:29" ht="25" hidden="1" customHeight="1" outlineLevel="1">
      <c r="B233" s="781"/>
      <c r="C233" s="782"/>
      <c r="D233" s="782"/>
      <c r="E233" s="782"/>
      <c r="F233" s="783"/>
      <c r="G233" s="238" t="s">
        <v>1540</v>
      </c>
      <c r="H233" s="333" t="s">
        <v>2124</v>
      </c>
      <c r="I233" s="737"/>
      <c r="J233" s="195" t="s">
        <v>1454</v>
      </c>
      <c r="K233" s="167">
        <v>3</v>
      </c>
      <c r="L233" s="390">
        <f t="shared" ref="L233:L236" si="18">E$231*M233</f>
        <v>28000</v>
      </c>
      <c r="M233" s="345">
        <v>14</v>
      </c>
      <c r="Q233"/>
      <c r="R233"/>
      <c r="S233"/>
      <c r="T233"/>
      <c r="U233"/>
    </row>
    <row r="234" spans="2:29" ht="25" hidden="1" customHeight="1" outlineLevel="1">
      <c r="B234" s="781"/>
      <c r="C234" s="782"/>
      <c r="D234" s="782"/>
      <c r="E234" s="782"/>
      <c r="F234" s="783"/>
      <c r="G234" s="238" t="s">
        <v>2038</v>
      </c>
      <c r="H234" s="333" t="s">
        <v>2124</v>
      </c>
      <c r="I234" s="737"/>
      <c r="J234" s="195" t="s">
        <v>1473</v>
      </c>
      <c r="K234" s="167">
        <v>3</v>
      </c>
      <c r="L234" s="390">
        <f t="shared" si="18"/>
        <v>22000</v>
      </c>
      <c r="M234" s="345">
        <v>11</v>
      </c>
      <c r="Q234"/>
      <c r="R234"/>
      <c r="S234"/>
      <c r="T234"/>
      <c r="U234"/>
    </row>
    <row r="235" spans="2:29" ht="25" hidden="1" customHeight="1" outlineLevel="1">
      <c r="B235" s="781"/>
      <c r="C235" s="782"/>
      <c r="D235" s="782"/>
      <c r="E235" s="782"/>
      <c r="F235" s="783"/>
      <c r="G235" s="238" t="s">
        <v>2154</v>
      </c>
      <c r="H235" s="333" t="s">
        <v>2124</v>
      </c>
      <c r="I235" s="737"/>
      <c r="J235" s="195" t="s">
        <v>2113</v>
      </c>
      <c r="K235" s="167">
        <v>3</v>
      </c>
      <c r="L235" s="390">
        <f t="shared" si="18"/>
        <v>28000</v>
      </c>
      <c r="M235" s="345">
        <v>14</v>
      </c>
      <c r="Q235"/>
      <c r="R235"/>
      <c r="S235"/>
      <c r="T235"/>
      <c r="U235"/>
    </row>
    <row r="236" spans="2:29" ht="25" hidden="1" customHeight="1" outlineLevel="1" thickBot="1">
      <c r="B236" s="992" t="s">
        <v>1990</v>
      </c>
      <c r="C236" s="993"/>
      <c r="D236" s="993"/>
      <c r="E236" s="993"/>
      <c r="F236" s="994"/>
      <c r="G236" s="321"/>
      <c r="H236" s="153"/>
      <c r="I236" s="975"/>
      <c r="J236" s="195"/>
      <c r="K236" s="168">
        <v>3</v>
      </c>
      <c r="L236" s="390">
        <f t="shared" si="18"/>
        <v>0</v>
      </c>
      <c r="M236" s="345">
        <v>0</v>
      </c>
      <c r="Q236"/>
      <c r="R236"/>
      <c r="S236"/>
      <c r="T236"/>
      <c r="U236"/>
    </row>
    <row r="237" spans="2:29" ht="15" customHeight="1" collapsed="1" thickBot="1">
      <c r="B237" s="163" t="str">
        <f>$B$29</f>
        <v>International Initiative for Sustainable Built Environment</v>
      </c>
      <c r="C237" s="163"/>
      <c r="D237" s="163"/>
      <c r="E237" s="163"/>
      <c r="F237" s="163"/>
      <c r="G237" s="165"/>
      <c r="H237" s="12"/>
      <c r="I237" s="165"/>
      <c r="J237" s="12"/>
      <c r="K237" s="12"/>
      <c r="L237" s="12"/>
      <c r="M237" s="12"/>
    </row>
    <row r="238" spans="2:29" s="4" customFormat="1" ht="30" customHeight="1" thickBot="1">
      <c r="B238" s="765" t="str">
        <f>Settings!$B$9</f>
        <v>Damage Assessments for Sustainable Reconstruction in Ukraine</v>
      </c>
      <c r="C238" s="766"/>
      <c r="D238" s="766"/>
      <c r="E238" s="766"/>
      <c r="F238" s="766"/>
      <c r="G238" s="766"/>
      <c r="H238" s="966"/>
      <c r="I238" s="935" t="str">
        <f>I$2</f>
        <v>Irpin Urban Area</v>
      </c>
      <c r="J238" s="936"/>
      <c r="K238" s="937"/>
      <c r="L238" s="173" t="str">
        <f>L$2</f>
        <v>27Jan23</v>
      </c>
      <c r="M238" s="157">
        <v>12</v>
      </c>
      <c r="N238"/>
      <c r="O238"/>
      <c r="P238"/>
      <c r="Q238" s="2"/>
      <c r="S238" s="10"/>
      <c r="V238"/>
      <c r="W238"/>
      <c r="X238"/>
      <c r="Y238"/>
      <c r="Z238"/>
      <c r="AA238"/>
      <c r="AB238"/>
      <c r="AC238"/>
    </row>
    <row r="239" spans="2:29" s="4" customFormat="1" ht="26" customHeight="1">
      <c r="B239" s="938" t="str">
        <f>Languages!$C$190&amp;" 1"</f>
        <v>Public buildings 1</v>
      </c>
      <c r="C239" s="939"/>
      <c r="D239" s="787" t="str">
        <f>Languages!$N$176</f>
        <v>Information on main asset &amp; sub-assets</v>
      </c>
      <c r="E239" s="788" t="str">
        <f>Languages!$I$188</f>
        <v>Area and/or quantity assessed</v>
      </c>
      <c r="F239" s="789"/>
      <c r="G239" s="792" t="str">
        <f>Languages!$M$194</f>
        <v>Enter info on type and area / quantity of assets, type and extent of damage.</v>
      </c>
      <c r="H239" s="809"/>
      <c r="I239" s="796" t="s">
        <v>2118</v>
      </c>
      <c r="J239" s="798" t="str">
        <f>Languages!$K$177</f>
        <v>Approx. repair costs, priority 4 &amp; 5 assets, m. Euro</v>
      </c>
      <c r="K239" s="799"/>
      <c r="L239" s="389">
        <f>IF(K243&gt;3,L243)+IF(K248&gt;3,L248)+IF(K253&gt;3,L253)</f>
        <v>0</v>
      </c>
      <c r="M239" s="259" t="s">
        <v>1966</v>
      </c>
      <c r="N239"/>
      <c r="O239"/>
      <c r="P239"/>
      <c r="Q239" s="2"/>
      <c r="R239"/>
      <c r="S239"/>
      <c r="V239"/>
      <c r="W239"/>
      <c r="X239"/>
      <c r="Y239"/>
      <c r="Z239"/>
      <c r="AA239"/>
      <c r="AB239"/>
      <c r="AC239"/>
    </row>
    <row r="240" spans="2:29" ht="27" customHeight="1">
      <c r="B240" s="940"/>
      <c r="C240" s="941"/>
      <c r="D240" s="768"/>
      <c r="E240" s="790"/>
      <c r="F240" s="791"/>
      <c r="G240" s="794"/>
      <c r="H240" s="810"/>
      <c r="I240" s="797"/>
      <c r="J240" s="852" t="str">
        <f>Languages!$K$176</f>
        <v>Approx. total repair costs, m. Euro</v>
      </c>
      <c r="K240" s="853"/>
      <c r="L240" s="264">
        <f>(L243+L248+L253)</f>
        <v>0</v>
      </c>
      <c r="M240" s="260" t="s">
        <v>1966</v>
      </c>
      <c r="O240"/>
    </row>
    <row r="241" spans="2:21" ht="18" customHeight="1">
      <c r="B241" s="940"/>
      <c r="C241" s="941"/>
      <c r="D241" s="768"/>
      <c r="E241" s="802" t="s">
        <v>1546</v>
      </c>
      <c r="F241" s="769" t="str">
        <f>Languages!$N$178</f>
        <v>Unit type</v>
      </c>
      <c r="G241" s="769" t="s">
        <v>2122</v>
      </c>
      <c r="H241" s="769" t="s">
        <v>2132</v>
      </c>
      <c r="I241" s="331" t="s">
        <v>2117</v>
      </c>
      <c r="J241" s="771" t="str">
        <f>Languages!$K$178</f>
        <v>Actions</v>
      </c>
      <c r="K241" s="772"/>
      <c r="L241" s="945" t="str">
        <f>Languages!$M$176</f>
        <v>Est. repair cost</v>
      </c>
      <c r="M241" s="946"/>
      <c r="O241"/>
    </row>
    <row r="242" spans="2:21" ht="28" customHeight="1" thickBot="1">
      <c r="B242" s="940"/>
      <c r="C242" s="941"/>
      <c r="D242" s="768"/>
      <c r="E242" s="803"/>
      <c r="F242" s="770"/>
      <c r="G242" s="770"/>
      <c r="H242" s="770"/>
      <c r="I242" s="330" t="str">
        <f>Languages!$E$190</f>
        <v>Social Impact level</v>
      </c>
      <c r="J242" s="492" t="str">
        <f>Languages!$K$185</f>
        <v>Action required</v>
      </c>
      <c r="K242" s="504" t="str">
        <f>Languages!$G$193</f>
        <v>Priority 
1 - 5</v>
      </c>
      <c r="L242" s="493" t="str">
        <f>Languages!$M$177</f>
        <v>Total m. Euro</v>
      </c>
      <c r="M242" s="494" t="str">
        <f>Languages!$M$178&amp;" per m2"</f>
        <v>Est. Euro per m2</v>
      </c>
      <c r="O242"/>
    </row>
    <row r="243" spans="2:21" ht="24" customHeight="1">
      <c r="B243" s="917" t="str">
        <f>Languages!C$267</f>
        <v>Public building</v>
      </c>
      <c r="C243" s="918"/>
      <c r="D243" s="579" t="s">
        <v>2178</v>
      </c>
      <c r="E243" s="933">
        <v>10</v>
      </c>
      <c r="F243" s="934"/>
      <c r="G243" s="964" t="str">
        <f>G$13</f>
        <v>Whole Asset or Building</v>
      </c>
      <c r="H243" s="967" t="s">
        <v>2124</v>
      </c>
      <c r="I243" s="501" t="s">
        <v>2103</v>
      </c>
      <c r="J243" s="927" t="s">
        <v>2212</v>
      </c>
      <c r="K243" s="929">
        <f>SUM(K246:K247)/2</f>
        <v>4</v>
      </c>
      <c r="L243" s="947">
        <f>SUM(L246:L247)/1000000</f>
        <v>0</v>
      </c>
      <c r="M243" s="962" t="str">
        <f>M$13</f>
        <v>million Euro</v>
      </c>
      <c r="Q243"/>
      <c r="R243"/>
      <c r="S243"/>
      <c r="T243"/>
      <c r="U243"/>
    </row>
    <row r="244" spans="2:21" ht="24" customHeight="1" thickBot="1">
      <c r="B244" s="919"/>
      <c r="C244" s="920"/>
      <c r="D244" s="550" t="s">
        <v>1555</v>
      </c>
      <c r="E244" s="944">
        <f>E243*E245</f>
        <v>120000</v>
      </c>
      <c r="F244" s="932"/>
      <c r="G244" s="965"/>
      <c r="H244" s="968"/>
      <c r="I244" s="538" t="s">
        <v>2115</v>
      </c>
      <c r="J244" s="928"/>
      <c r="K244" s="930"/>
      <c r="L244" s="948"/>
      <c r="M244" s="963"/>
      <c r="Q244"/>
      <c r="R244"/>
      <c r="S244"/>
      <c r="T244"/>
      <c r="U244"/>
    </row>
    <row r="245" spans="2:21" ht="25" hidden="1" customHeight="1" outlineLevel="1">
      <c r="B245" s="915"/>
      <c r="C245" s="916"/>
      <c r="D245" s="507" t="s">
        <v>1554</v>
      </c>
      <c r="E245" s="337">
        <v>12000</v>
      </c>
      <c r="F245" s="171" t="s">
        <v>1528</v>
      </c>
      <c r="G245" s="461" t="str">
        <f>G$15</f>
        <v>Components</v>
      </c>
      <c r="H245" s="330" t="s">
        <v>2250</v>
      </c>
      <c r="I245" s="497" t="s">
        <v>2141</v>
      </c>
      <c r="J245" s="351" t="str">
        <f>Languages!$K$185</f>
        <v>Action required</v>
      </c>
      <c r="K245" s="362"/>
      <c r="L245" s="498" t="s">
        <v>2144</v>
      </c>
      <c r="M245" s="384" t="s">
        <v>2143</v>
      </c>
      <c r="Q245"/>
      <c r="R245"/>
      <c r="S245"/>
      <c r="T245"/>
      <c r="U245"/>
    </row>
    <row r="246" spans="2:21" ht="25" hidden="1" customHeight="1" outlineLevel="1">
      <c r="B246" s="781"/>
      <c r="C246" s="782"/>
      <c r="D246" s="779"/>
      <c r="E246" s="779"/>
      <c r="F246" s="780"/>
      <c r="G246" s="238" t="s">
        <v>1543</v>
      </c>
      <c r="H246" s="333" t="s">
        <v>2124</v>
      </c>
      <c r="I246" s="736"/>
      <c r="J246" s="308" t="s">
        <v>1449</v>
      </c>
      <c r="K246" s="310">
        <v>4</v>
      </c>
      <c r="L246" s="390">
        <f>E$245*M246</f>
        <v>0</v>
      </c>
      <c r="M246" s="345">
        <v>0</v>
      </c>
      <c r="Q246"/>
      <c r="R246"/>
      <c r="S246"/>
      <c r="T246"/>
      <c r="U246"/>
    </row>
    <row r="247" spans="2:21" ht="25" hidden="1" customHeight="1" outlineLevel="1" thickBot="1">
      <c r="B247" s="781"/>
      <c r="C247" s="782"/>
      <c r="D247" s="782"/>
      <c r="E247" s="782"/>
      <c r="F247" s="783"/>
      <c r="G247" s="458" t="s">
        <v>1540</v>
      </c>
      <c r="H247" s="513" t="s">
        <v>2124</v>
      </c>
      <c r="I247" s="737"/>
      <c r="J247" s="312" t="s">
        <v>1449</v>
      </c>
      <c r="K247" s="309">
        <v>4</v>
      </c>
      <c r="L247" s="502">
        <f>E$245*M247</f>
        <v>0</v>
      </c>
      <c r="M247" s="356">
        <v>0</v>
      </c>
      <c r="Q247"/>
      <c r="R247"/>
      <c r="S247"/>
      <c r="T247"/>
      <c r="U247"/>
    </row>
    <row r="248" spans="2:21" ht="24" customHeight="1" collapsed="1">
      <c r="B248" s="917" t="str">
        <f>Languages!C$268</f>
        <v>Official residence</v>
      </c>
      <c r="C248" s="918"/>
      <c r="D248" s="579" t="s">
        <v>2178</v>
      </c>
      <c r="E248" s="933">
        <v>1</v>
      </c>
      <c r="F248" s="934"/>
      <c r="G248" s="964" t="str">
        <f>G$13</f>
        <v>Whole Asset or Building</v>
      </c>
      <c r="H248" s="967" t="s">
        <v>2124</v>
      </c>
      <c r="I248" s="501" t="s">
        <v>2103</v>
      </c>
      <c r="J248" s="927" t="s">
        <v>2212</v>
      </c>
      <c r="K248" s="929">
        <f>SUM(K251:K252)/2</f>
        <v>3</v>
      </c>
      <c r="L248" s="947">
        <f>SUM(L251:L252)/1000000</f>
        <v>0</v>
      </c>
      <c r="M248" s="962" t="str">
        <f>M$13</f>
        <v>million Euro</v>
      </c>
      <c r="Q248"/>
      <c r="R248"/>
      <c r="S248"/>
      <c r="T248"/>
      <c r="U248"/>
    </row>
    <row r="249" spans="2:21" ht="24" customHeight="1" thickBot="1">
      <c r="B249" s="919"/>
      <c r="C249" s="920"/>
      <c r="D249" s="550" t="s">
        <v>1555</v>
      </c>
      <c r="E249" s="944">
        <f>E248*E250</f>
        <v>3000</v>
      </c>
      <c r="F249" s="932"/>
      <c r="G249" s="965"/>
      <c r="H249" s="968"/>
      <c r="I249" s="538" t="s">
        <v>2115</v>
      </c>
      <c r="J249" s="928"/>
      <c r="K249" s="930"/>
      <c r="L249" s="948"/>
      <c r="M249" s="963"/>
      <c r="Q249"/>
      <c r="R249"/>
      <c r="S249"/>
      <c r="T249"/>
      <c r="U249"/>
    </row>
    <row r="250" spans="2:21" ht="25" hidden="1" customHeight="1" outlineLevel="1">
      <c r="B250" s="915"/>
      <c r="C250" s="916"/>
      <c r="D250" s="507" t="s">
        <v>1554</v>
      </c>
      <c r="E250" s="337">
        <v>3000</v>
      </c>
      <c r="F250" s="171" t="s">
        <v>1528</v>
      </c>
      <c r="G250" s="461" t="str">
        <f>G$15</f>
        <v>Components</v>
      </c>
      <c r="H250" s="330" t="s">
        <v>2250</v>
      </c>
      <c r="I250" s="497" t="s">
        <v>2141</v>
      </c>
      <c r="J250" s="351" t="str">
        <f>Languages!$K$185</f>
        <v>Action required</v>
      </c>
      <c r="K250" s="362"/>
      <c r="L250" s="498" t="s">
        <v>2144</v>
      </c>
      <c r="M250" s="384" t="s">
        <v>2143</v>
      </c>
      <c r="Q250"/>
      <c r="R250"/>
      <c r="S250"/>
      <c r="T250"/>
      <c r="U250"/>
    </row>
    <row r="251" spans="2:21" ht="25" hidden="1" customHeight="1" outlineLevel="1">
      <c r="B251" s="781"/>
      <c r="C251" s="782"/>
      <c r="D251" s="779"/>
      <c r="E251" s="779"/>
      <c r="F251" s="780"/>
      <c r="G251" s="238" t="s">
        <v>1983</v>
      </c>
      <c r="H251" s="333" t="s">
        <v>2124</v>
      </c>
      <c r="I251" s="736"/>
      <c r="J251" s="308"/>
      <c r="K251" s="167">
        <v>3</v>
      </c>
      <c r="L251" s="390">
        <f>E$250*M251</f>
        <v>0</v>
      </c>
      <c r="M251" s="345">
        <v>0</v>
      </c>
      <c r="Q251"/>
      <c r="R251"/>
      <c r="S251"/>
      <c r="T251"/>
      <c r="U251"/>
    </row>
    <row r="252" spans="2:21" ht="25" hidden="1" customHeight="1" outlineLevel="1" thickBot="1">
      <c r="B252" s="781"/>
      <c r="C252" s="782"/>
      <c r="D252" s="782"/>
      <c r="E252" s="782"/>
      <c r="F252" s="783"/>
      <c r="G252" s="458" t="s">
        <v>1543</v>
      </c>
      <c r="H252" s="513" t="s">
        <v>2124</v>
      </c>
      <c r="I252" s="737"/>
      <c r="J252" s="312"/>
      <c r="K252" s="456">
        <v>3</v>
      </c>
      <c r="L252" s="502">
        <f>E$250*M252</f>
        <v>0</v>
      </c>
      <c r="M252" s="356">
        <v>0</v>
      </c>
      <c r="Q252"/>
      <c r="R252"/>
      <c r="S252"/>
      <c r="T252"/>
      <c r="U252"/>
    </row>
    <row r="253" spans="2:21" ht="24" customHeight="1" collapsed="1">
      <c r="B253" s="917" t="str">
        <f>Languages!C$269</f>
        <v>Court house</v>
      </c>
      <c r="C253" s="918"/>
      <c r="D253" s="579" t="s">
        <v>2178</v>
      </c>
      <c r="E253" s="933">
        <v>3</v>
      </c>
      <c r="F253" s="934"/>
      <c r="G253" s="964" t="str">
        <f>G$13</f>
        <v>Whole Asset or Building</v>
      </c>
      <c r="H253" s="967" t="s">
        <v>2124</v>
      </c>
      <c r="I253" s="501" t="s">
        <v>2103</v>
      </c>
      <c r="J253" s="927" t="s">
        <v>2212</v>
      </c>
      <c r="K253" s="929">
        <f>SUM(K256:K257)/2</f>
        <v>3</v>
      </c>
      <c r="L253" s="947">
        <f>SUM(L256:L257)/1000000</f>
        <v>0</v>
      </c>
      <c r="M253" s="962" t="str">
        <f>M$13</f>
        <v>million Euro</v>
      </c>
      <c r="Q253"/>
      <c r="R253"/>
      <c r="S253"/>
      <c r="T253"/>
      <c r="U253"/>
    </row>
    <row r="254" spans="2:21" ht="24" customHeight="1" thickBot="1">
      <c r="B254" s="919"/>
      <c r="C254" s="920"/>
      <c r="D254" s="550" t="s">
        <v>1555</v>
      </c>
      <c r="E254" s="944">
        <f>E253*E255</f>
        <v>21000</v>
      </c>
      <c r="F254" s="932"/>
      <c r="G254" s="965"/>
      <c r="H254" s="968"/>
      <c r="I254" s="538" t="s">
        <v>2115</v>
      </c>
      <c r="J254" s="928"/>
      <c r="K254" s="930"/>
      <c r="L254" s="948"/>
      <c r="M254" s="963"/>
      <c r="Q254"/>
      <c r="R254"/>
      <c r="S254"/>
      <c r="T254"/>
      <c r="U254"/>
    </row>
    <row r="255" spans="2:21" ht="25" hidden="1" customHeight="1" outlineLevel="1">
      <c r="B255" s="915"/>
      <c r="C255" s="916"/>
      <c r="D255" s="507" t="s">
        <v>1554</v>
      </c>
      <c r="E255" s="337">
        <v>7000</v>
      </c>
      <c r="F255" s="171" t="s">
        <v>1528</v>
      </c>
      <c r="G255" s="461" t="str">
        <f>G$15</f>
        <v>Components</v>
      </c>
      <c r="H255" s="330" t="s">
        <v>2250</v>
      </c>
      <c r="I255" s="497" t="s">
        <v>2141</v>
      </c>
      <c r="J255" s="351" t="str">
        <f>Languages!$K$185</f>
        <v>Action required</v>
      </c>
      <c r="K255" s="362"/>
      <c r="L255" s="498" t="s">
        <v>2144</v>
      </c>
      <c r="M255" s="384" t="s">
        <v>2143</v>
      </c>
      <c r="Q255"/>
      <c r="R255"/>
      <c r="S255"/>
      <c r="T255"/>
      <c r="U255"/>
    </row>
    <row r="256" spans="2:21" ht="25" hidden="1" customHeight="1" outlineLevel="1">
      <c r="B256" s="781"/>
      <c r="C256" s="782"/>
      <c r="D256" s="779"/>
      <c r="E256" s="779"/>
      <c r="F256" s="780"/>
      <c r="G256" s="238" t="s">
        <v>1983</v>
      </c>
      <c r="H256" s="333" t="s">
        <v>2124</v>
      </c>
      <c r="I256" s="736"/>
      <c r="J256" s="195"/>
      <c r="K256" s="167">
        <v>3</v>
      </c>
      <c r="L256" s="390">
        <f>E$255*M256</f>
        <v>0</v>
      </c>
      <c r="M256" s="345">
        <v>0</v>
      </c>
      <c r="Q256"/>
      <c r="R256"/>
      <c r="S256"/>
      <c r="T256"/>
      <c r="U256"/>
    </row>
    <row r="257" spans="2:29" ht="25" hidden="1" customHeight="1" outlineLevel="1" thickBot="1">
      <c r="B257" s="824"/>
      <c r="C257" s="825"/>
      <c r="D257" s="825"/>
      <c r="E257" s="825"/>
      <c r="F257" s="826"/>
      <c r="G257" s="238" t="s">
        <v>1543</v>
      </c>
      <c r="H257" s="333" t="s">
        <v>2124</v>
      </c>
      <c r="I257" s="975"/>
      <c r="J257" s="195"/>
      <c r="K257" s="167">
        <v>3</v>
      </c>
      <c r="L257" s="390">
        <f>E$255*M257</f>
        <v>0</v>
      </c>
      <c r="M257" s="345">
        <v>0</v>
      </c>
      <c r="Q257"/>
      <c r="R257"/>
      <c r="S257"/>
      <c r="T257"/>
      <c r="U257"/>
    </row>
    <row r="258" spans="2:29" ht="15" customHeight="1" collapsed="1" thickBot="1">
      <c r="B258" s="163" t="str">
        <f>$B$29</f>
        <v>International Initiative for Sustainable Built Environment</v>
      </c>
      <c r="C258" s="163"/>
      <c r="D258" s="163"/>
      <c r="E258" s="163"/>
      <c r="F258" s="163"/>
      <c r="G258" s="165"/>
      <c r="H258" s="12"/>
      <c r="I258" s="165"/>
      <c r="J258" s="12"/>
      <c r="K258" s="12"/>
      <c r="L258" s="12"/>
      <c r="M258" s="12"/>
    </row>
    <row r="259" spans="2:29" s="4" customFormat="1" ht="30" customHeight="1" thickBot="1">
      <c r="B259" s="765" t="str">
        <f>Settings!$B$9</f>
        <v>Damage Assessments for Sustainable Reconstruction in Ukraine</v>
      </c>
      <c r="C259" s="766"/>
      <c r="D259" s="766"/>
      <c r="E259" s="766"/>
      <c r="F259" s="766"/>
      <c r="G259" s="766"/>
      <c r="H259" s="966"/>
      <c r="I259" s="935" t="str">
        <f>I$2</f>
        <v>Irpin Urban Area</v>
      </c>
      <c r="J259" s="936"/>
      <c r="K259" s="937"/>
      <c r="L259" s="173" t="str">
        <f>L$2</f>
        <v>27Jan23</v>
      </c>
      <c r="M259" s="157">
        <v>13</v>
      </c>
      <c r="N259"/>
      <c r="O259"/>
      <c r="P259"/>
      <c r="Q259" s="2"/>
      <c r="S259" s="10"/>
      <c r="V259"/>
      <c r="W259"/>
      <c r="X259"/>
      <c r="Y259"/>
      <c r="Z259"/>
      <c r="AA259"/>
      <c r="AB259"/>
      <c r="AC259"/>
    </row>
    <row r="260" spans="2:29" s="4" customFormat="1" ht="27" customHeight="1">
      <c r="B260" s="938" t="str">
        <f>Languages!$C$190&amp;" 2"</f>
        <v>Public buildings 2</v>
      </c>
      <c r="C260" s="939"/>
      <c r="D260" s="787" t="str">
        <f>Languages!$N$176</f>
        <v>Information on main asset &amp; sub-assets</v>
      </c>
      <c r="E260" s="788" t="str">
        <f>Languages!$I$188</f>
        <v>Area and/or quantity assessed</v>
      </c>
      <c r="F260" s="789"/>
      <c r="G260" s="792" t="str">
        <f>Languages!$M$194</f>
        <v>Enter info on type and area / quantity of assets, type and extent of damage.</v>
      </c>
      <c r="H260" s="809"/>
      <c r="I260" s="796" t="s">
        <v>2118</v>
      </c>
      <c r="J260" s="798" t="str">
        <f>Languages!$K$177</f>
        <v>Approx. repair costs, priority 4 &amp; 5 assets, m. Euro</v>
      </c>
      <c r="K260" s="799"/>
      <c r="L260" s="389">
        <f>IF(K264&gt;3,L264)+IF(K269&gt;3,L269)+IF(K274&gt;3,L274)</f>
        <v>0</v>
      </c>
      <c r="M260" s="259" t="s">
        <v>1966</v>
      </c>
      <c r="N260"/>
      <c r="O260"/>
      <c r="P260"/>
      <c r="Q260" s="2"/>
      <c r="R260"/>
      <c r="S260"/>
      <c r="V260"/>
      <c r="W260"/>
      <c r="X260"/>
      <c r="Y260"/>
      <c r="Z260"/>
      <c r="AA260"/>
      <c r="AB260"/>
      <c r="AC260"/>
    </row>
    <row r="261" spans="2:29" ht="27" customHeight="1">
      <c r="B261" s="940"/>
      <c r="C261" s="941"/>
      <c r="D261" s="768"/>
      <c r="E261" s="790"/>
      <c r="F261" s="791"/>
      <c r="G261" s="794"/>
      <c r="H261" s="810"/>
      <c r="I261" s="797"/>
      <c r="J261" s="852" t="str">
        <f>Languages!$K$176</f>
        <v>Approx. total repair costs, m. Euro</v>
      </c>
      <c r="K261" s="853"/>
      <c r="L261" s="264">
        <f>(L264+L269+L274)</f>
        <v>0</v>
      </c>
      <c r="M261" s="260" t="s">
        <v>1966</v>
      </c>
      <c r="O261"/>
    </row>
    <row r="262" spans="2:29" ht="20" customHeight="1">
      <c r="B262" s="940"/>
      <c r="C262" s="941"/>
      <c r="D262" s="768"/>
      <c r="E262" s="802" t="s">
        <v>1546</v>
      </c>
      <c r="F262" s="769" t="str">
        <f>Languages!$N$178</f>
        <v>Unit type</v>
      </c>
      <c r="G262" s="769" t="s">
        <v>2122</v>
      </c>
      <c r="H262" s="769" t="s">
        <v>2132</v>
      </c>
      <c r="I262" s="331" t="s">
        <v>2117</v>
      </c>
      <c r="J262" s="771" t="str">
        <f>Languages!$K$178</f>
        <v>Actions</v>
      </c>
      <c r="K262" s="772"/>
      <c r="L262" s="945" t="str">
        <f>Languages!$M$176</f>
        <v>Est. repair cost</v>
      </c>
      <c r="M262" s="946"/>
      <c r="O262"/>
    </row>
    <row r="263" spans="2:29" ht="28" customHeight="1" thickBot="1">
      <c r="B263" s="940"/>
      <c r="C263" s="941"/>
      <c r="D263" s="768"/>
      <c r="E263" s="803"/>
      <c r="F263" s="770"/>
      <c r="G263" s="770"/>
      <c r="H263" s="770"/>
      <c r="I263" s="330" t="str">
        <f>Languages!$E$190</f>
        <v>Social Impact level</v>
      </c>
      <c r="J263" s="492" t="str">
        <f>Languages!$K$185</f>
        <v>Action required</v>
      </c>
      <c r="K263" s="504" t="str">
        <f>Languages!$G$193</f>
        <v>Priority 
1 - 5</v>
      </c>
      <c r="L263" s="493" t="str">
        <f>Languages!$M$177</f>
        <v>Total m. Euro</v>
      </c>
      <c r="M263" s="494" t="str">
        <f>Languages!$M$178&amp;" per m2"</f>
        <v>Est. Euro per m2</v>
      </c>
      <c r="O263"/>
    </row>
    <row r="264" spans="2:29" ht="24" customHeight="1">
      <c r="B264" s="917" t="str">
        <f>Languages!C$270</f>
        <v>National Library</v>
      </c>
      <c r="C264" s="918"/>
      <c r="D264" s="579" t="s">
        <v>2178</v>
      </c>
      <c r="E264" s="933">
        <v>1</v>
      </c>
      <c r="F264" s="934"/>
      <c r="G264" s="964" t="str">
        <f>G$13</f>
        <v>Whole Asset or Building</v>
      </c>
      <c r="H264" s="967" t="s">
        <v>2124</v>
      </c>
      <c r="I264" s="501" t="s">
        <v>2103</v>
      </c>
      <c r="J264" s="927" t="s">
        <v>2212</v>
      </c>
      <c r="K264" s="929">
        <f>SUM(K267:K268)/2</f>
        <v>3</v>
      </c>
      <c r="L264" s="947">
        <f>SUM(L267:L268)/1000000</f>
        <v>0</v>
      </c>
      <c r="M264" s="962" t="str">
        <f>M$13</f>
        <v>million Euro</v>
      </c>
      <c r="Q264"/>
      <c r="R264"/>
      <c r="S264"/>
      <c r="T264"/>
      <c r="U264"/>
    </row>
    <row r="265" spans="2:29" ht="24" customHeight="1" thickBot="1">
      <c r="B265" s="919"/>
      <c r="C265" s="920"/>
      <c r="D265" s="550" t="s">
        <v>1555</v>
      </c>
      <c r="E265" s="944">
        <f>E264*E266</f>
        <v>45000</v>
      </c>
      <c r="F265" s="932"/>
      <c r="G265" s="965"/>
      <c r="H265" s="968"/>
      <c r="I265" s="538" t="s">
        <v>2115</v>
      </c>
      <c r="J265" s="928"/>
      <c r="K265" s="930"/>
      <c r="L265" s="948"/>
      <c r="M265" s="963"/>
      <c r="Q265"/>
      <c r="R265"/>
      <c r="S265"/>
      <c r="T265"/>
      <c r="U265"/>
    </row>
    <row r="266" spans="2:29" ht="25" hidden="1" customHeight="1" outlineLevel="1">
      <c r="B266" s="915"/>
      <c r="C266" s="916"/>
      <c r="D266" s="507" t="s">
        <v>1554</v>
      </c>
      <c r="E266" s="337">
        <v>45000</v>
      </c>
      <c r="F266" s="171" t="s">
        <v>1528</v>
      </c>
      <c r="G266" s="461" t="str">
        <f>G$15</f>
        <v>Components</v>
      </c>
      <c r="H266" s="330" t="s">
        <v>2250</v>
      </c>
      <c r="I266" s="497" t="s">
        <v>2141</v>
      </c>
      <c r="J266" s="351" t="str">
        <f>Languages!$K$185</f>
        <v>Action required</v>
      </c>
      <c r="K266" s="362"/>
      <c r="L266" s="498" t="s">
        <v>2144</v>
      </c>
      <c r="M266" s="384" t="s">
        <v>2143</v>
      </c>
      <c r="Q266"/>
      <c r="R266"/>
      <c r="S266"/>
      <c r="T266"/>
      <c r="U266"/>
    </row>
    <row r="267" spans="2:29" ht="25" hidden="1" customHeight="1" outlineLevel="1">
      <c r="B267" s="781"/>
      <c r="C267" s="782"/>
      <c r="D267" s="779"/>
      <c r="E267" s="779"/>
      <c r="F267" s="780"/>
      <c r="G267" s="238" t="s">
        <v>1543</v>
      </c>
      <c r="H267" s="333" t="s">
        <v>2124</v>
      </c>
      <c r="I267" s="736"/>
      <c r="J267" s="308"/>
      <c r="K267" s="167">
        <v>3</v>
      </c>
      <c r="L267" s="390">
        <f>E$266*M267</f>
        <v>0</v>
      </c>
      <c r="M267" s="345">
        <v>0</v>
      </c>
      <c r="Q267"/>
      <c r="R267"/>
      <c r="S267"/>
      <c r="T267"/>
      <c r="U267"/>
    </row>
    <row r="268" spans="2:29" ht="25" hidden="1" customHeight="1" outlineLevel="1" thickBot="1">
      <c r="B268" s="781"/>
      <c r="C268" s="782"/>
      <c r="D268" s="782"/>
      <c r="E268" s="782"/>
      <c r="F268" s="783"/>
      <c r="G268" s="458" t="s">
        <v>1543</v>
      </c>
      <c r="H268" s="513" t="s">
        <v>2124</v>
      </c>
      <c r="I268" s="737"/>
      <c r="J268" s="312"/>
      <c r="K268" s="456">
        <v>3</v>
      </c>
      <c r="L268" s="502">
        <f>E$266*M268</f>
        <v>0</v>
      </c>
      <c r="M268" s="356">
        <v>0</v>
      </c>
      <c r="Q268"/>
      <c r="R268"/>
      <c r="S268"/>
      <c r="T268"/>
      <c r="U268"/>
    </row>
    <row r="269" spans="2:29" ht="24" customHeight="1" collapsed="1">
      <c r="B269" s="917" t="str">
        <f>Languages!C$271</f>
        <v>Local Library</v>
      </c>
      <c r="C269" s="918"/>
      <c r="D269" s="579" t="s">
        <v>2178</v>
      </c>
      <c r="E269" s="933">
        <v>1</v>
      </c>
      <c r="F269" s="934"/>
      <c r="G269" s="964" t="str">
        <f>G$13</f>
        <v>Whole Asset or Building</v>
      </c>
      <c r="H269" s="967" t="s">
        <v>2124</v>
      </c>
      <c r="I269" s="501" t="s">
        <v>2103</v>
      </c>
      <c r="J269" s="927" t="s">
        <v>2212</v>
      </c>
      <c r="K269" s="929">
        <f>SUM(K272:K273)/2</f>
        <v>3</v>
      </c>
      <c r="L269" s="947">
        <f>SUM(L272:L273)/1000000</f>
        <v>0</v>
      </c>
      <c r="M269" s="962" t="str">
        <f>M$13</f>
        <v>million Euro</v>
      </c>
      <c r="Q269"/>
      <c r="R269"/>
      <c r="S269"/>
      <c r="T269"/>
      <c r="U269"/>
    </row>
    <row r="270" spans="2:29" ht="24" customHeight="1" thickBot="1">
      <c r="B270" s="919"/>
      <c r="C270" s="920"/>
      <c r="D270" s="550" t="s">
        <v>1555</v>
      </c>
      <c r="E270" s="944">
        <f>E269*E271</f>
        <v>8000</v>
      </c>
      <c r="F270" s="932"/>
      <c r="G270" s="965"/>
      <c r="H270" s="968"/>
      <c r="I270" s="538" t="s">
        <v>2115</v>
      </c>
      <c r="J270" s="928"/>
      <c r="K270" s="930"/>
      <c r="L270" s="948"/>
      <c r="M270" s="963"/>
      <c r="Q270"/>
      <c r="R270"/>
      <c r="S270"/>
      <c r="T270"/>
      <c r="U270"/>
    </row>
    <row r="271" spans="2:29" ht="25" hidden="1" customHeight="1" outlineLevel="1">
      <c r="B271" s="915"/>
      <c r="C271" s="916"/>
      <c r="D271" s="507" t="s">
        <v>1554</v>
      </c>
      <c r="E271" s="337">
        <v>8000</v>
      </c>
      <c r="F271" s="171" t="s">
        <v>1528</v>
      </c>
      <c r="G271" s="461" t="str">
        <f>G$15</f>
        <v>Components</v>
      </c>
      <c r="H271" s="330" t="s">
        <v>2250</v>
      </c>
      <c r="I271" s="497" t="s">
        <v>2141</v>
      </c>
      <c r="J271" s="351" t="str">
        <f>Languages!$K$185</f>
        <v>Action required</v>
      </c>
      <c r="K271" s="362"/>
      <c r="L271" s="498" t="s">
        <v>2144</v>
      </c>
      <c r="M271" s="384" t="s">
        <v>2143</v>
      </c>
      <c r="Q271"/>
      <c r="R271"/>
      <c r="S271"/>
      <c r="T271"/>
      <c r="U271"/>
    </row>
    <row r="272" spans="2:29" ht="25" hidden="1" customHeight="1" outlineLevel="1">
      <c r="B272" s="781"/>
      <c r="C272" s="782"/>
      <c r="D272" s="779"/>
      <c r="E272" s="779"/>
      <c r="F272" s="780"/>
      <c r="G272" s="238" t="s">
        <v>1543</v>
      </c>
      <c r="H272" s="333" t="s">
        <v>2124</v>
      </c>
      <c r="I272" s="736"/>
      <c r="J272" s="308"/>
      <c r="K272" s="167">
        <v>3</v>
      </c>
      <c r="L272" s="390">
        <f>E271*M272</f>
        <v>0</v>
      </c>
      <c r="M272" s="345">
        <v>0</v>
      </c>
      <c r="Q272"/>
      <c r="R272"/>
      <c r="S272"/>
      <c r="T272"/>
      <c r="U272"/>
    </row>
    <row r="273" spans="2:29" ht="25" hidden="1" customHeight="1" outlineLevel="1" thickBot="1">
      <c r="B273" s="781"/>
      <c r="C273" s="782"/>
      <c r="D273" s="782"/>
      <c r="E273" s="782"/>
      <c r="F273" s="783"/>
      <c r="G273" s="458" t="s">
        <v>1543</v>
      </c>
      <c r="H273" s="513" t="s">
        <v>2124</v>
      </c>
      <c r="I273" s="737"/>
      <c r="J273" s="312"/>
      <c r="K273" s="456">
        <v>3</v>
      </c>
      <c r="L273" s="502">
        <f>E271*M273</f>
        <v>0</v>
      </c>
      <c r="M273" s="356">
        <v>0</v>
      </c>
      <c r="Q273"/>
      <c r="R273"/>
      <c r="S273"/>
      <c r="T273"/>
      <c r="U273"/>
    </row>
    <row r="274" spans="2:29" ht="24" customHeight="1" collapsed="1">
      <c r="B274" s="917" t="str">
        <f>Languages!C$273</f>
        <v>Buildings for culture or arts</v>
      </c>
      <c r="C274" s="918"/>
      <c r="D274" s="579" t="s">
        <v>2178</v>
      </c>
      <c r="E274" s="933">
        <v>1</v>
      </c>
      <c r="F274" s="934"/>
      <c r="G274" s="964" t="str">
        <f>G$13</f>
        <v>Whole Asset or Building</v>
      </c>
      <c r="H274" s="967" t="s">
        <v>2124</v>
      </c>
      <c r="I274" s="501" t="s">
        <v>2103</v>
      </c>
      <c r="J274" s="927" t="s">
        <v>2212</v>
      </c>
      <c r="K274" s="929">
        <f>SUM(K277:K278)/2</f>
        <v>3</v>
      </c>
      <c r="L274" s="947">
        <f>SUM(L277:L278)/1000000</f>
        <v>0</v>
      </c>
      <c r="M274" s="962" t="str">
        <f>M$13</f>
        <v>million Euro</v>
      </c>
      <c r="Q274"/>
      <c r="R274"/>
      <c r="S274"/>
      <c r="T274"/>
      <c r="U274"/>
    </row>
    <row r="275" spans="2:29" ht="24" customHeight="1" thickBot="1">
      <c r="B275" s="919"/>
      <c r="C275" s="920"/>
      <c r="D275" s="550" t="s">
        <v>1555</v>
      </c>
      <c r="E275" s="944">
        <f>E274*E276</f>
        <v>12000</v>
      </c>
      <c r="F275" s="932"/>
      <c r="G275" s="965"/>
      <c r="H275" s="968"/>
      <c r="I275" s="538" t="s">
        <v>2115</v>
      </c>
      <c r="J275" s="928"/>
      <c r="K275" s="930"/>
      <c r="L275" s="948"/>
      <c r="M275" s="963"/>
      <c r="Q275"/>
      <c r="R275"/>
      <c r="S275"/>
      <c r="T275"/>
      <c r="U275"/>
    </row>
    <row r="276" spans="2:29" ht="25" hidden="1" customHeight="1" outlineLevel="1">
      <c r="B276" s="915"/>
      <c r="C276" s="916"/>
      <c r="D276" s="507" t="s">
        <v>1554</v>
      </c>
      <c r="E276" s="337">
        <v>12000</v>
      </c>
      <c r="F276" s="171" t="s">
        <v>1528</v>
      </c>
      <c r="G276" s="461" t="str">
        <f>G$15</f>
        <v>Components</v>
      </c>
      <c r="H276" s="330" t="s">
        <v>2250</v>
      </c>
      <c r="I276" s="497" t="s">
        <v>2141</v>
      </c>
      <c r="J276" s="351" t="str">
        <f>Languages!$K$185</f>
        <v>Action required</v>
      </c>
      <c r="K276" s="362"/>
      <c r="L276" s="498" t="s">
        <v>2144</v>
      </c>
      <c r="M276" s="384" t="s">
        <v>2143</v>
      </c>
      <c r="Q276"/>
      <c r="R276"/>
      <c r="S276"/>
      <c r="T276"/>
      <c r="U276"/>
    </row>
    <row r="277" spans="2:29" ht="25" hidden="1" customHeight="1" outlineLevel="1">
      <c r="B277" s="781"/>
      <c r="C277" s="782"/>
      <c r="D277" s="779"/>
      <c r="E277" s="779"/>
      <c r="F277" s="780"/>
      <c r="G277" s="238" t="s">
        <v>1543</v>
      </c>
      <c r="H277" s="333" t="s">
        <v>2124</v>
      </c>
      <c r="I277" s="736"/>
      <c r="J277" s="195"/>
      <c r="K277" s="167">
        <v>3</v>
      </c>
      <c r="L277" s="390">
        <f>E276*M277</f>
        <v>0</v>
      </c>
      <c r="M277" s="345">
        <v>0</v>
      </c>
      <c r="Q277"/>
      <c r="R277"/>
      <c r="S277"/>
      <c r="T277"/>
      <c r="U277"/>
    </row>
    <row r="278" spans="2:29" ht="25" hidden="1" customHeight="1" outlineLevel="1" thickBot="1">
      <c r="B278" s="824"/>
      <c r="C278" s="825"/>
      <c r="D278" s="825"/>
      <c r="E278" s="825"/>
      <c r="F278" s="826"/>
      <c r="G278" s="238" t="s">
        <v>1543</v>
      </c>
      <c r="H278" s="333" t="s">
        <v>2124</v>
      </c>
      <c r="I278" s="975"/>
      <c r="J278" s="195"/>
      <c r="K278" s="167">
        <v>3</v>
      </c>
      <c r="L278" s="391">
        <f>E276*M278</f>
        <v>0</v>
      </c>
      <c r="M278" s="345">
        <v>0</v>
      </c>
      <c r="Q278"/>
      <c r="R278"/>
      <c r="S278"/>
      <c r="T278"/>
      <c r="U278"/>
    </row>
    <row r="279" spans="2:29" ht="15" customHeight="1" collapsed="1" thickBot="1">
      <c r="B279" s="163" t="str">
        <f>$B$29</f>
        <v>International Initiative for Sustainable Built Environment</v>
      </c>
      <c r="C279" s="163"/>
      <c r="D279" s="163"/>
      <c r="E279" s="163"/>
      <c r="F279" s="163"/>
      <c r="G279" s="165"/>
      <c r="H279" s="12"/>
      <c r="I279" s="165"/>
      <c r="J279" s="12"/>
      <c r="K279" s="12"/>
      <c r="L279" s="12"/>
      <c r="M279" s="12"/>
    </row>
    <row r="280" spans="2:29" s="4" customFormat="1" ht="30" customHeight="1" thickBot="1">
      <c r="B280" s="765" t="str">
        <f>Settings!$B$9</f>
        <v>Damage Assessments for Sustainable Reconstruction in Ukraine</v>
      </c>
      <c r="C280" s="766"/>
      <c r="D280" s="766"/>
      <c r="E280" s="766"/>
      <c r="F280" s="766"/>
      <c r="G280" s="766"/>
      <c r="H280" s="966"/>
      <c r="I280" s="935" t="str">
        <f>I$2</f>
        <v>Irpin Urban Area</v>
      </c>
      <c r="J280" s="936"/>
      <c r="K280" s="937"/>
      <c r="L280" s="173" t="str">
        <f>L$2</f>
        <v>27Jan23</v>
      </c>
      <c r="M280" s="157">
        <v>14</v>
      </c>
      <c r="N280"/>
      <c r="O280"/>
      <c r="P280"/>
      <c r="Q280" s="2"/>
      <c r="S280" s="10"/>
      <c r="V280"/>
      <c r="W280"/>
      <c r="X280"/>
      <c r="Y280"/>
      <c r="Z280"/>
      <c r="AA280"/>
      <c r="AB280"/>
      <c r="AC280"/>
    </row>
    <row r="281" spans="2:29" s="4" customFormat="1" ht="27" customHeight="1">
      <c r="B281" s="938" t="str">
        <f>Languages!$C$190&amp;" 3"</f>
        <v>Public buildings 3</v>
      </c>
      <c r="C281" s="939"/>
      <c r="D281" s="787" t="str">
        <f>Languages!$N$176</f>
        <v>Information on main asset &amp; sub-assets</v>
      </c>
      <c r="E281" s="788" t="str">
        <f>Languages!$I$188</f>
        <v>Area and/or quantity assessed</v>
      </c>
      <c r="F281" s="789"/>
      <c r="G281" s="792" t="str">
        <f>Languages!$M$194</f>
        <v>Enter info on type and area / quantity of assets, type and extent of damage.</v>
      </c>
      <c r="H281" s="809"/>
      <c r="I281" s="796" t="s">
        <v>2118</v>
      </c>
      <c r="J281" s="798" t="str">
        <f>Languages!$K$177</f>
        <v>Approx. repair costs, priority 4 &amp; 5 assets, m. Euro</v>
      </c>
      <c r="K281" s="799"/>
      <c r="L281" s="389">
        <f>IF(K285&gt;3,L285)+IF(K290&gt;3,L290)+IF(K295&gt;3,L295)</f>
        <v>0</v>
      </c>
      <c r="M281" s="259" t="s">
        <v>1966</v>
      </c>
      <c r="N281"/>
      <c r="O281"/>
      <c r="P281"/>
      <c r="Q281" s="2"/>
      <c r="R281"/>
      <c r="S281"/>
      <c r="V281"/>
      <c r="W281"/>
      <c r="X281"/>
      <c r="Y281"/>
      <c r="Z281"/>
      <c r="AA281"/>
      <c r="AB281"/>
      <c r="AC281"/>
    </row>
    <row r="282" spans="2:29" ht="27" customHeight="1">
      <c r="B282" s="940"/>
      <c r="C282" s="941"/>
      <c r="D282" s="768"/>
      <c r="E282" s="790"/>
      <c r="F282" s="791"/>
      <c r="G282" s="794"/>
      <c r="H282" s="810"/>
      <c r="I282" s="797"/>
      <c r="J282" s="852" t="str">
        <f>Languages!$K$176</f>
        <v>Approx. total repair costs, m. Euro</v>
      </c>
      <c r="K282" s="853"/>
      <c r="L282" s="264">
        <f>(L285+L290+L295)</f>
        <v>0</v>
      </c>
      <c r="M282" s="260" t="s">
        <v>1966</v>
      </c>
      <c r="O282"/>
    </row>
    <row r="283" spans="2:29" ht="20" customHeight="1">
      <c r="B283" s="940"/>
      <c r="C283" s="941"/>
      <c r="D283" s="768"/>
      <c r="E283" s="802" t="s">
        <v>1546</v>
      </c>
      <c r="F283" s="769" t="str">
        <f>Languages!$N$178</f>
        <v>Unit type</v>
      </c>
      <c r="G283" s="769" t="s">
        <v>2122</v>
      </c>
      <c r="H283" s="769" t="s">
        <v>2132</v>
      </c>
      <c r="I283" s="331" t="s">
        <v>2117</v>
      </c>
      <c r="J283" s="771" t="str">
        <f>Languages!$K$178</f>
        <v>Actions</v>
      </c>
      <c r="K283" s="772"/>
      <c r="L283" s="945" t="str">
        <f>Languages!$M$176</f>
        <v>Est. repair cost</v>
      </c>
      <c r="M283" s="946"/>
      <c r="O283"/>
    </row>
    <row r="284" spans="2:29" ht="28" customHeight="1" thickBot="1">
      <c r="B284" s="940"/>
      <c r="C284" s="941"/>
      <c r="D284" s="768"/>
      <c r="E284" s="803"/>
      <c r="F284" s="770"/>
      <c r="G284" s="770"/>
      <c r="H284" s="770"/>
      <c r="I284" s="330" t="str">
        <f>Languages!$E$190</f>
        <v>Social Impact level</v>
      </c>
      <c r="J284" s="492" t="str">
        <f>Languages!$K$185</f>
        <v>Action required</v>
      </c>
      <c r="K284" s="504" t="str">
        <f>Languages!$G$193</f>
        <v>Priority 
1 - 5</v>
      </c>
      <c r="L284" s="493" t="str">
        <f>Languages!$M$177</f>
        <v>Total m. Euro</v>
      </c>
      <c r="M284" s="494" t="str">
        <f>Languages!$M$178&amp;" per m2"</f>
        <v>Est. Euro per m2</v>
      </c>
      <c r="O284"/>
    </row>
    <row r="285" spans="2:29" ht="24" customHeight="1">
      <c r="B285" s="917" t="str">
        <f>Languages!C$299</f>
        <v>Cinemas</v>
      </c>
      <c r="C285" s="918"/>
      <c r="D285" s="579" t="s">
        <v>2178</v>
      </c>
      <c r="E285" s="933">
        <v>10</v>
      </c>
      <c r="F285" s="934"/>
      <c r="G285" s="964" t="str">
        <f>G$13</f>
        <v>Whole Asset or Building</v>
      </c>
      <c r="H285" s="967" t="s">
        <v>2124</v>
      </c>
      <c r="I285" s="501" t="s">
        <v>2103</v>
      </c>
      <c r="J285" s="927" t="s">
        <v>2212</v>
      </c>
      <c r="K285" s="929">
        <f>SUM(K288:K289)/2</f>
        <v>3</v>
      </c>
      <c r="L285" s="947">
        <f>SUM(L288:L289)/1000000</f>
        <v>0</v>
      </c>
      <c r="M285" s="962" t="str">
        <f>M$13</f>
        <v>million Euro</v>
      </c>
      <c r="Q285"/>
      <c r="R285"/>
      <c r="S285"/>
      <c r="T285"/>
      <c r="U285"/>
    </row>
    <row r="286" spans="2:29" ht="24" customHeight="1" thickBot="1">
      <c r="B286" s="919"/>
      <c r="C286" s="920"/>
      <c r="D286" s="550" t="s">
        <v>1555</v>
      </c>
      <c r="E286" s="944">
        <f>E285*E287</f>
        <v>20000</v>
      </c>
      <c r="F286" s="932"/>
      <c r="G286" s="965"/>
      <c r="H286" s="968"/>
      <c r="I286" s="538" t="s">
        <v>2115</v>
      </c>
      <c r="J286" s="928"/>
      <c r="K286" s="930"/>
      <c r="L286" s="948"/>
      <c r="M286" s="963"/>
      <c r="Q286"/>
      <c r="R286"/>
      <c r="S286"/>
      <c r="T286"/>
      <c r="U286"/>
    </row>
    <row r="287" spans="2:29" ht="25" hidden="1" customHeight="1" outlineLevel="1">
      <c r="B287" s="915"/>
      <c r="C287" s="916"/>
      <c r="D287" s="507" t="s">
        <v>1554</v>
      </c>
      <c r="E287" s="337">
        <v>2000</v>
      </c>
      <c r="F287" s="171" t="s">
        <v>1528</v>
      </c>
      <c r="G287" s="461" t="str">
        <f>G$15</f>
        <v>Components</v>
      </c>
      <c r="H287" s="330" t="s">
        <v>2250</v>
      </c>
      <c r="I287" s="497" t="s">
        <v>2141</v>
      </c>
      <c r="J287" s="351" t="str">
        <f>Languages!$K$185</f>
        <v>Action required</v>
      </c>
      <c r="K287" s="362"/>
      <c r="L287" s="498" t="s">
        <v>2144</v>
      </c>
      <c r="M287" s="384" t="s">
        <v>2143</v>
      </c>
      <c r="Q287"/>
      <c r="R287"/>
      <c r="S287"/>
      <c r="T287"/>
      <c r="U287"/>
    </row>
    <row r="288" spans="2:29" ht="25" hidden="1" customHeight="1" outlineLevel="1">
      <c r="B288" s="781"/>
      <c r="C288" s="782"/>
      <c r="D288" s="779"/>
      <c r="E288" s="779"/>
      <c r="F288" s="780"/>
      <c r="G288" s="238" t="s">
        <v>1543</v>
      </c>
      <c r="H288" s="333" t="s">
        <v>2124</v>
      </c>
      <c r="I288" s="736"/>
      <c r="J288" s="308" t="s">
        <v>1473</v>
      </c>
      <c r="K288" s="167">
        <v>3</v>
      </c>
      <c r="L288" s="390">
        <f>E287*M288</f>
        <v>0</v>
      </c>
      <c r="M288" s="345">
        <v>0</v>
      </c>
      <c r="Q288"/>
      <c r="R288"/>
      <c r="S288"/>
      <c r="T288"/>
      <c r="U288"/>
    </row>
    <row r="289" spans="2:29" ht="25" hidden="1" customHeight="1" outlineLevel="1" thickBot="1">
      <c r="B289" s="781"/>
      <c r="C289" s="782"/>
      <c r="D289" s="782"/>
      <c r="E289" s="782"/>
      <c r="F289" s="783"/>
      <c r="G289" s="458" t="s">
        <v>1543</v>
      </c>
      <c r="H289" s="513" t="s">
        <v>2124</v>
      </c>
      <c r="I289" s="737"/>
      <c r="J289" s="312" t="s">
        <v>1449</v>
      </c>
      <c r="K289" s="456">
        <v>3</v>
      </c>
      <c r="L289" s="502">
        <f>E287*M289</f>
        <v>0</v>
      </c>
      <c r="M289" s="356">
        <v>0</v>
      </c>
      <c r="Q289"/>
      <c r="R289"/>
      <c r="S289"/>
      <c r="T289"/>
      <c r="U289"/>
    </row>
    <row r="290" spans="2:29" ht="24" customHeight="1" collapsed="1">
      <c r="B290" s="917" t="str">
        <f>Languages!C$300</f>
        <v>Performing arts</v>
      </c>
      <c r="C290" s="918"/>
      <c r="D290" s="579" t="s">
        <v>2178</v>
      </c>
      <c r="E290" s="933">
        <v>1</v>
      </c>
      <c r="F290" s="934"/>
      <c r="G290" s="964" t="str">
        <f>G$13</f>
        <v>Whole Asset or Building</v>
      </c>
      <c r="H290" s="967" t="s">
        <v>2124</v>
      </c>
      <c r="I290" s="501" t="s">
        <v>2103</v>
      </c>
      <c r="J290" s="927" t="s">
        <v>2212</v>
      </c>
      <c r="K290" s="929">
        <f>SUM(K293:K294)/2</f>
        <v>3</v>
      </c>
      <c r="L290" s="947">
        <f>SUM(L293:L294)/1000000</f>
        <v>0</v>
      </c>
      <c r="M290" s="962" t="str">
        <f>M$13</f>
        <v>million Euro</v>
      </c>
      <c r="Q290"/>
      <c r="R290"/>
      <c r="S290"/>
      <c r="T290"/>
      <c r="U290"/>
    </row>
    <row r="291" spans="2:29" ht="24" customHeight="1" thickBot="1">
      <c r="B291" s="919"/>
      <c r="C291" s="920"/>
      <c r="D291" s="550" t="s">
        <v>1555</v>
      </c>
      <c r="E291" s="944">
        <f>E290*E292</f>
        <v>15000</v>
      </c>
      <c r="F291" s="932"/>
      <c r="G291" s="965"/>
      <c r="H291" s="968"/>
      <c r="I291" s="538" t="s">
        <v>2115</v>
      </c>
      <c r="J291" s="928"/>
      <c r="K291" s="930"/>
      <c r="L291" s="948"/>
      <c r="M291" s="963"/>
      <c r="Q291"/>
      <c r="R291"/>
      <c r="S291"/>
      <c r="T291"/>
      <c r="U291"/>
    </row>
    <row r="292" spans="2:29" ht="25" hidden="1" customHeight="1" outlineLevel="1">
      <c r="B292" s="915"/>
      <c r="C292" s="916"/>
      <c r="D292" s="507" t="s">
        <v>1554</v>
      </c>
      <c r="E292" s="337">
        <v>15000</v>
      </c>
      <c r="F292" s="171" t="s">
        <v>1528</v>
      </c>
      <c r="G292" s="461" t="str">
        <f>G$15</f>
        <v>Components</v>
      </c>
      <c r="H292" s="330" t="s">
        <v>2250</v>
      </c>
      <c r="I292" s="497" t="s">
        <v>2141</v>
      </c>
      <c r="J292" s="351" t="str">
        <f>Languages!$K$185</f>
        <v>Action required</v>
      </c>
      <c r="K292" s="362"/>
      <c r="L292" s="498" t="s">
        <v>2144</v>
      </c>
      <c r="M292" s="384" t="s">
        <v>2143</v>
      </c>
      <c r="Q292"/>
      <c r="R292"/>
      <c r="S292"/>
      <c r="T292"/>
      <c r="U292"/>
    </row>
    <row r="293" spans="2:29" ht="25" hidden="1" customHeight="1" outlineLevel="1">
      <c r="B293" s="781"/>
      <c r="C293" s="782"/>
      <c r="D293" s="779"/>
      <c r="E293" s="779"/>
      <c r="F293" s="780"/>
      <c r="G293" s="238" t="s">
        <v>1543</v>
      </c>
      <c r="H293" s="333" t="s">
        <v>2124</v>
      </c>
      <c r="I293" s="736"/>
      <c r="J293" s="195"/>
      <c r="K293" s="266">
        <v>3</v>
      </c>
      <c r="L293" s="390">
        <f>E292*M293</f>
        <v>0</v>
      </c>
      <c r="M293" s="345">
        <v>0</v>
      </c>
      <c r="Q293"/>
      <c r="R293"/>
      <c r="S293"/>
      <c r="T293"/>
      <c r="U293"/>
    </row>
    <row r="294" spans="2:29" ht="25" hidden="1" customHeight="1" outlineLevel="1" thickBot="1">
      <c r="B294" s="781"/>
      <c r="C294" s="782"/>
      <c r="D294" s="782"/>
      <c r="E294" s="782"/>
      <c r="F294" s="783"/>
      <c r="G294" s="458" t="s">
        <v>1543</v>
      </c>
      <c r="H294" s="513" t="s">
        <v>2124</v>
      </c>
      <c r="I294" s="737"/>
      <c r="J294" s="385"/>
      <c r="K294" s="265">
        <v>3</v>
      </c>
      <c r="L294" s="502">
        <f>E292*M294</f>
        <v>0</v>
      </c>
      <c r="M294" s="356">
        <v>0</v>
      </c>
      <c r="Q294"/>
      <c r="R294"/>
      <c r="S294"/>
      <c r="T294"/>
      <c r="U294"/>
    </row>
    <row r="295" spans="2:29" ht="24" customHeight="1" collapsed="1">
      <c r="B295" s="917" t="str">
        <f>Languages!C$301</f>
        <v>Convention Centre</v>
      </c>
      <c r="C295" s="918"/>
      <c r="D295" s="579" t="s">
        <v>2178</v>
      </c>
      <c r="E295" s="933">
        <v>1</v>
      </c>
      <c r="F295" s="934"/>
      <c r="G295" s="964" t="str">
        <f>G$13</f>
        <v>Whole Asset or Building</v>
      </c>
      <c r="H295" s="967" t="s">
        <v>2124</v>
      </c>
      <c r="I295" s="501" t="s">
        <v>2103</v>
      </c>
      <c r="J295" s="927" t="s">
        <v>2212</v>
      </c>
      <c r="K295" s="929">
        <f>SUM(K298:K299)/2</f>
        <v>3</v>
      </c>
      <c r="L295" s="947">
        <f>SUM(L298:L299)/1000000</f>
        <v>0</v>
      </c>
      <c r="M295" s="962" t="str">
        <f>M$13</f>
        <v>million Euro</v>
      </c>
      <c r="Q295"/>
      <c r="R295"/>
      <c r="S295"/>
      <c r="T295"/>
      <c r="U295"/>
    </row>
    <row r="296" spans="2:29" ht="24" customHeight="1" thickBot="1">
      <c r="B296" s="919"/>
      <c r="C296" s="920"/>
      <c r="D296" s="550" t="s">
        <v>1555</v>
      </c>
      <c r="E296" s="944">
        <f>E295*E297</f>
        <v>8000</v>
      </c>
      <c r="F296" s="932"/>
      <c r="G296" s="965"/>
      <c r="H296" s="968"/>
      <c r="I296" s="538" t="s">
        <v>2115</v>
      </c>
      <c r="J296" s="928"/>
      <c r="K296" s="930"/>
      <c r="L296" s="948"/>
      <c r="M296" s="963"/>
      <c r="Q296"/>
      <c r="R296"/>
      <c r="S296"/>
      <c r="T296"/>
      <c r="U296"/>
    </row>
    <row r="297" spans="2:29" ht="25" hidden="1" customHeight="1" outlineLevel="1">
      <c r="B297" s="915"/>
      <c r="C297" s="916"/>
      <c r="D297" s="507" t="s">
        <v>1554</v>
      </c>
      <c r="E297" s="337">
        <v>8000</v>
      </c>
      <c r="F297" s="171" t="s">
        <v>1528</v>
      </c>
      <c r="G297" s="461" t="str">
        <f>G$15</f>
        <v>Components</v>
      </c>
      <c r="H297" s="330" t="s">
        <v>2250</v>
      </c>
      <c r="I297" s="497" t="s">
        <v>2141</v>
      </c>
      <c r="J297" s="351" t="str">
        <f>Languages!$K$185</f>
        <v>Action required</v>
      </c>
      <c r="K297" s="362"/>
      <c r="L297" s="498" t="s">
        <v>2144</v>
      </c>
      <c r="M297" s="384" t="s">
        <v>2143</v>
      </c>
      <c r="Q297"/>
      <c r="R297"/>
      <c r="S297"/>
      <c r="T297"/>
      <c r="U297"/>
    </row>
    <row r="298" spans="2:29" ht="25" hidden="1" customHeight="1" outlineLevel="1">
      <c r="B298" s="781"/>
      <c r="C298" s="782"/>
      <c r="D298" s="779"/>
      <c r="E298" s="779"/>
      <c r="F298" s="780"/>
      <c r="G298" s="238" t="s">
        <v>1543</v>
      </c>
      <c r="H298" s="333" t="s">
        <v>2124</v>
      </c>
      <c r="I298" s="736"/>
      <c r="J298" s="195"/>
      <c r="K298" s="167">
        <v>3</v>
      </c>
      <c r="L298" s="390">
        <f>E297*M298</f>
        <v>0</v>
      </c>
      <c r="M298" s="345">
        <v>0</v>
      </c>
      <c r="Q298"/>
      <c r="R298"/>
      <c r="S298"/>
      <c r="T298"/>
      <c r="U298"/>
    </row>
    <row r="299" spans="2:29" ht="25" hidden="1" customHeight="1" outlineLevel="1" thickBot="1">
      <c r="B299" s="824"/>
      <c r="C299" s="825"/>
      <c r="D299" s="825"/>
      <c r="E299" s="825"/>
      <c r="F299" s="826"/>
      <c r="G299" s="238" t="s">
        <v>1543</v>
      </c>
      <c r="H299" s="333" t="s">
        <v>2124</v>
      </c>
      <c r="I299" s="975"/>
      <c r="J299" s="195"/>
      <c r="K299" s="167">
        <v>3</v>
      </c>
      <c r="L299" s="391">
        <f>E297*M299</f>
        <v>0</v>
      </c>
      <c r="M299" s="345">
        <v>0</v>
      </c>
      <c r="Q299"/>
      <c r="R299"/>
      <c r="S299"/>
      <c r="T299"/>
      <c r="U299"/>
    </row>
    <row r="300" spans="2:29" ht="15" customHeight="1" collapsed="1" thickBot="1">
      <c r="B300" s="163" t="str">
        <f>$B$29</f>
        <v>International Initiative for Sustainable Built Environment</v>
      </c>
      <c r="C300" s="163"/>
      <c r="D300" s="163"/>
      <c r="E300" s="163"/>
      <c r="F300" s="163"/>
      <c r="G300" s="165"/>
      <c r="H300" s="12"/>
      <c r="I300" s="165"/>
      <c r="J300" s="12"/>
      <c r="K300" s="12"/>
      <c r="L300" s="12"/>
      <c r="M300" s="12"/>
    </row>
    <row r="301" spans="2:29" s="4" customFormat="1" ht="30" customHeight="1" thickBot="1">
      <c r="B301" s="765" t="str">
        <f>Settings!$B$9</f>
        <v>Damage Assessments for Sustainable Reconstruction in Ukraine</v>
      </c>
      <c r="C301" s="766"/>
      <c r="D301" s="766"/>
      <c r="E301" s="766"/>
      <c r="F301" s="766"/>
      <c r="G301" s="766"/>
      <c r="H301" s="966"/>
      <c r="I301" s="935" t="str">
        <f>I$2</f>
        <v>Irpin Urban Area</v>
      </c>
      <c r="J301" s="936"/>
      <c r="K301" s="937"/>
      <c r="L301" s="173" t="str">
        <f>L$2</f>
        <v>27Jan23</v>
      </c>
      <c r="M301" s="157">
        <v>15</v>
      </c>
      <c r="N301"/>
      <c r="O301"/>
      <c r="P301"/>
      <c r="Q301" s="2"/>
      <c r="S301" s="10"/>
      <c r="V301"/>
      <c r="W301"/>
      <c r="X301"/>
      <c r="Y301"/>
      <c r="Z301"/>
      <c r="AA301"/>
      <c r="AB301"/>
      <c r="AC301"/>
    </row>
    <row r="302" spans="2:29" s="4" customFormat="1" ht="27" customHeight="1">
      <c r="B302" s="938" t="str">
        <f>Languages!$C$190&amp;" 4"</f>
        <v>Public buildings 4</v>
      </c>
      <c r="C302" s="939"/>
      <c r="D302" s="787" t="str">
        <f>Languages!$N$176</f>
        <v>Information on main asset &amp; sub-assets</v>
      </c>
      <c r="E302" s="788" t="str">
        <f>Languages!$I$188</f>
        <v>Area and/or quantity assessed</v>
      </c>
      <c r="F302" s="789"/>
      <c r="G302" s="792" t="str">
        <f>Languages!$M$194</f>
        <v>Enter info on type and area / quantity of assets, type and extent of damage.</v>
      </c>
      <c r="H302" s="809"/>
      <c r="I302" s="796" t="s">
        <v>2118</v>
      </c>
      <c r="J302" s="798" t="str">
        <f>Languages!$K$177</f>
        <v>Approx. repair costs, priority 4 &amp; 5 assets, m. Euro</v>
      </c>
      <c r="K302" s="799"/>
      <c r="L302" s="389">
        <f>IF(K306&gt;3,L306)+IF(K312&gt;3,L312)+IF(K318&gt;3,L318)</f>
        <v>0</v>
      </c>
      <c r="M302" s="259" t="s">
        <v>1966</v>
      </c>
      <c r="N302"/>
      <c r="O302"/>
      <c r="P302"/>
      <c r="Q302" s="2"/>
      <c r="R302"/>
      <c r="S302"/>
      <c r="V302"/>
      <c r="W302"/>
      <c r="X302"/>
      <c r="Y302"/>
      <c r="Z302"/>
      <c r="AA302"/>
      <c r="AB302"/>
      <c r="AC302"/>
    </row>
    <row r="303" spans="2:29" ht="27" customHeight="1">
      <c r="B303" s="940"/>
      <c r="C303" s="941"/>
      <c r="D303" s="768"/>
      <c r="E303" s="790"/>
      <c r="F303" s="791"/>
      <c r="G303" s="794"/>
      <c r="H303" s="810"/>
      <c r="I303" s="797"/>
      <c r="J303" s="852" t="str">
        <f>Languages!$K$176</f>
        <v>Approx. total repair costs, m. Euro</v>
      </c>
      <c r="K303" s="853"/>
      <c r="L303" s="264">
        <f>(L306+L312+L318)</f>
        <v>0</v>
      </c>
      <c r="M303" s="260" t="s">
        <v>1966</v>
      </c>
      <c r="O303"/>
    </row>
    <row r="304" spans="2:29" ht="20" customHeight="1">
      <c r="B304" s="940"/>
      <c r="C304" s="941"/>
      <c r="D304" s="768"/>
      <c r="E304" s="802" t="s">
        <v>1546</v>
      </c>
      <c r="F304" s="769" t="str">
        <f>Languages!$N$178</f>
        <v>Unit type</v>
      </c>
      <c r="G304" s="769" t="s">
        <v>2122</v>
      </c>
      <c r="H304" s="769" t="s">
        <v>2132</v>
      </c>
      <c r="I304" s="331" t="s">
        <v>2117</v>
      </c>
      <c r="J304" s="771" t="str">
        <f>Languages!$K$178</f>
        <v>Actions</v>
      </c>
      <c r="K304" s="772"/>
      <c r="L304" s="945" t="str">
        <f>Languages!$M$176</f>
        <v>Est. repair cost</v>
      </c>
      <c r="M304" s="946"/>
      <c r="O304"/>
    </row>
    <row r="305" spans="2:21" ht="26" customHeight="1" thickBot="1">
      <c r="B305" s="940"/>
      <c r="C305" s="941"/>
      <c r="D305" s="768"/>
      <c r="E305" s="803"/>
      <c r="F305" s="770"/>
      <c r="G305" s="770"/>
      <c r="H305" s="770"/>
      <c r="I305" s="330" t="str">
        <f>Languages!$E$190</f>
        <v>Social Impact level</v>
      </c>
      <c r="J305" s="492" t="str">
        <f>Languages!$K$185</f>
        <v>Action required</v>
      </c>
      <c r="K305" s="504" t="str">
        <f>Languages!$G$193</f>
        <v>Priority 
1 - 5</v>
      </c>
      <c r="L305" s="493" t="str">
        <f>Languages!$M$177</f>
        <v>Total m. Euro</v>
      </c>
      <c r="M305" s="494" t="str">
        <f>Languages!$M$178&amp;" per m2"</f>
        <v>Est. Euro per m2</v>
      </c>
      <c r="O305"/>
    </row>
    <row r="306" spans="2:21" ht="24" customHeight="1">
      <c r="B306" s="917" t="str">
        <f>Languages!C$272</f>
        <v>Buildings of historical value</v>
      </c>
      <c r="C306" s="918"/>
      <c r="D306" s="579" t="s">
        <v>2178</v>
      </c>
      <c r="E306" s="933">
        <v>1</v>
      </c>
      <c r="F306" s="934"/>
      <c r="G306" s="964" t="str">
        <f>G$13</f>
        <v>Whole Asset or Building</v>
      </c>
      <c r="H306" s="967" t="s">
        <v>2124</v>
      </c>
      <c r="I306" s="501" t="s">
        <v>2103</v>
      </c>
      <c r="J306" s="927" t="s">
        <v>2212</v>
      </c>
      <c r="K306" s="929">
        <f>SUM(K309:K311)/3</f>
        <v>3</v>
      </c>
      <c r="L306" s="947">
        <f>SUM(L309:L311)/1000000</f>
        <v>0</v>
      </c>
      <c r="M306" s="962" t="str">
        <f>M$13</f>
        <v>million Euro</v>
      </c>
      <c r="Q306"/>
      <c r="R306"/>
      <c r="S306"/>
      <c r="T306"/>
      <c r="U306"/>
    </row>
    <row r="307" spans="2:21" ht="22" customHeight="1" thickBot="1">
      <c r="B307" s="919"/>
      <c r="C307" s="920"/>
      <c r="D307" s="550" t="s">
        <v>1555</v>
      </c>
      <c r="E307" s="944">
        <f>E306*E308</f>
        <v>3000</v>
      </c>
      <c r="F307" s="932"/>
      <c r="G307" s="965"/>
      <c r="H307" s="968"/>
      <c r="I307" s="538" t="s">
        <v>2115</v>
      </c>
      <c r="J307" s="928"/>
      <c r="K307" s="930"/>
      <c r="L307" s="948"/>
      <c r="M307" s="963"/>
      <c r="Q307"/>
      <c r="R307"/>
      <c r="S307"/>
      <c r="T307"/>
      <c r="U307"/>
    </row>
    <row r="308" spans="2:21" ht="25" hidden="1" customHeight="1" outlineLevel="1">
      <c r="B308" s="915"/>
      <c r="C308" s="916"/>
      <c r="D308" s="507" t="s">
        <v>1554</v>
      </c>
      <c r="E308" s="337">
        <v>3000</v>
      </c>
      <c r="F308" s="171" t="s">
        <v>1528</v>
      </c>
      <c r="G308" s="461" t="str">
        <f>G$15</f>
        <v>Components</v>
      </c>
      <c r="H308" s="330" t="s">
        <v>2250</v>
      </c>
      <c r="I308" s="497" t="s">
        <v>2141</v>
      </c>
      <c r="J308" s="351" t="str">
        <f>Languages!$K$185</f>
        <v>Action required</v>
      </c>
      <c r="K308" s="362"/>
      <c r="L308" s="498" t="s">
        <v>2144</v>
      </c>
      <c r="M308" s="384" t="s">
        <v>2143</v>
      </c>
      <c r="Q308"/>
      <c r="R308"/>
      <c r="S308"/>
      <c r="T308"/>
      <c r="U308"/>
    </row>
    <row r="309" spans="2:21" ht="25" hidden="1" customHeight="1" outlineLevel="1">
      <c r="B309" s="781"/>
      <c r="C309" s="782"/>
      <c r="D309" s="779"/>
      <c r="E309" s="779"/>
      <c r="F309" s="780"/>
      <c r="G309" s="238" t="s">
        <v>1543</v>
      </c>
      <c r="H309" s="333" t="s">
        <v>2124</v>
      </c>
      <c r="I309" s="736"/>
      <c r="J309" s="195"/>
      <c r="K309" s="266">
        <v>3</v>
      </c>
      <c r="L309" s="390">
        <f>E$308*M309</f>
        <v>0</v>
      </c>
      <c r="M309" s="345">
        <v>0</v>
      </c>
      <c r="Q309"/>
      <c r="R309"/>
      <c r="S309"/>
      <c r="T309"/>
      <c r="U309"/>
    </row>
    <row r="310" spans="2:21" ht="25" hidden="1" customHeight="1" outlineLevel="1">
      <c r="B310" s="781"/>
      <c r="C310" s="782"/>
      <c r="D310" s="782"/>
      <c r="E310" s="782"/>
      <c r="F310" s="783"/>
      <c r="G310" s="238" t="s">
        <v>1543</v>
      </c>
      <c r="H310" s="333" t="s">
        <v>2124</v>
      </c>
      <c r="I310" s="737"/>
      <c r="J310" s="195"/>
      <c r="K310" s="266">
        <v>3</v>
      </c>
      <c r="L310" s="390">
        <f>E$308*M310</f>
        <v>0</v>
      </c>
      <c r="M310" s="345">
        <v>0</v>
      </c>
      <c r="Q310"/>
      <c r="R310"/>
      <c r="S310"/>
      <c r="T310"/>
      <c r="U310"/>
    </row>
    <row r="311" spans="2:21" ht="25" hidden="1" customHeight="1" outlineLevel="1" thickBot="1">
      <c r="B311" s="781"/>
      <c r="C311" s="782"/>
      <c r="D311" s="782"/>
      <c r="E311" s="782"/>
      <c r="F311" s="783"/>
      <c r="G311" s="458" t="s">
        <v>1543</v>
      </c>
      <c r="H311" s="513" t="s">
        <v>2124</v>
      </c>
      <c r="I311" s="737"/>
      <c r="J311" s="385"/>
      <c r="K311" s="265">
        <v>3</v>
      </c>
      <c r="L311" s="502">
        <f>E$308*M311</f>
        <v>0</v>
      </c>
      <c r="M311" s="356">
        <v>0</v>
      </c>
      <c r="Q311"/>
      <c r="R311"/>
      <c r="S311"/>
      <c r="T311"/>
      <c r="U311"/>
    </row>
    <row r="312" spans="2:21" ht="24" customHeight="1" collapsed="1">
      <c r="B312" s="917" t="str">
        <f>Languages!C$310</f>
        <v>Police/fire station</v>
      </c>
      <c r="C312" s="918"/>
      <c r="D312" s="579" t="s">
        <v>2178</v>
      </c>
      <c r="E312" s="933">
        <v>1</v>
      </c>
      <c r="F312" s="934"/>
      <c r="G312" s="964" t="str">
        <f>G$13</f>
        <v>Whole Asset or Building</v>
      </c>
      <c r="H312" s="967" t="s">
        <v>2124</v>
      </c>
      <c r="I312" s="501" t="s">
        <v>2103</v>
      </c>
      <c r="J312" s="927" t="s">
        <v>2212</v>
      </c>
      <c r="K312" s="929">
        <f>SUM(K315:K317)/3</f>
        <v>3</v>
      </c>
      <c r="L312" s="947">
        <f>SUM(L315:L317)/1000000</f>
        <v>0</v>
      </c>
      <c r="M312" s="962" t="str">
        <f>M$13</f>
        <v>million Euro</v>
      </c>
      <c r="Q312"/>
      <c r="R312"/>
      <c r="S312"/>
      <c r="T312"/>
      <c r="U312"/>
    </row>
    <row r="313" spans="2:21" ht="22" customHeight="1" thickBot="1">
      <c r="B313" s="919"/>
      <c r="C313" s="920"/>
      <c r="D313" s="550" t="s">
        <v>1555</v>
      </c>
      <c r="E313" s="944">
        <f>E312*E314</f>
        <v>4000</v>
      </c>
      <c r="F313" s="932"/>
      <c r="G313" s="965"/>
      <c r="H313" s="968"/>
      <c r="I313" s="538" t="s">
        <v>2115</v>
      </c>
      <c r="J313" s="928"/>
      <c r="K313" s="930"/>
      <c r="L313" s="948"/>
      <c r="M313" s="963"/>
      <c r="Q313"/>
      <c r="R313"/>
      <c r="S313"/>
      <c r="T313"/>
      <c r="U313"/>
    </row>
    <row r="314" spans="2:21" ht="25" hidden="1" customHeight="1" outlineLevel="1">
      <c r="B314" s="915"/>
      <c r="C314" s="916"/>
      <c r="D314" s="507" t="s">
        <v>1554</v>
      </c>
      <c r="E314" s="337">
        <v>4000</v>
      </c>
      <c r="F314" s="171" t="s">
        <v>1528</v>
      </c>
      <c r="G314" s="461" t="str">
        <f>G$15</f>
        <v>Components</v>
      </c>
      <c r="H314" s="330" t="s">
        <v>2250</v>
      </c>
      <c r="I314" s="497" t="s">
        <v>2141</v>
      </c>
      <c r="J314" s="351" t="str">
        <f>Languages!$K$185</f>
        <v>Action required</v>
      </c>
      <c r="K314" s="362"/>
      <c r="L314" s="498" t="s">
        <v>2144</v>
      </c>
      <c r="M314" s="384" t="s">
        <v>2143</v>
      </c>
      <c r="Q314"/>
      <c r="R314"/>
      <c r="S314"/>
      <c r="T314"/>
      <c r="U314"/>
    </row>
    <row r="315" spans="2:21" ht="25" hidden="1" customHeight="1" outlineLevel="1">
      <c r="B315" s="781"/>
      <c r="C315" s="782"/>
      <c r="D315" s="779"/>
      <c r="E315" s="779"/>
      <c r="F315" s="780"/>
      <c r="G315" s="238" t="s">
        <v>1543</v>
      </c>
      <c r="H315" s="333" t="s">
        <v>2124</v>
      </c>
      <c r="I315" s="736"/>
      <c r="J315" s="195"/>
      <c r="K315" s="266">
        <v>3</v>
      </c>
      <c r="L315" s="390">
        <f>E$314*M315</f>
        <v>0</v>
      </c>
      <c r="M315" s="345">
        <v>0</v>
      </c>
      <c r="Q315"/>
      <c r="R315"/>
      <c r="S315"/>
      <c r="T315"/>
      <c r="U315"/>
    </row>
    <row r="316" spans="2:21" ht="25" hidden="1" customHeight="1" outlineLevel="1">
      <c r="B316" s="781"/>
      <c r="C316" s="782"/>
      <c r="D316" s="782"/>
      <c r="E316" s="782"/>
      <c r="F316" s="783"/>
      <c r="G316" s="238" t="s">
        <v>1543</v>
      </c>
      <c r="H316" s="333" t="s">
        <v>2124</v>
      </c>
      <c r="I316" s="737"/>
      <c r="J316" s="195"/>
      <c r="K316" s="266">
        <v>3</v>
      </c>
      <c r="L316" s="390">
        <f>E$314*M316</f>
        <v>0</v>
      </c>
      <c r="M316" s="345">
        <v>0</v>
      </c>
      <c r="Q316"/>
      <c r="R316"/>
      <c r="S316"/>
      <c r="T316"/>
      <c r="U316"/>
    </row>
    <row r="317" spans="2:21" ht="25" hidden="1" customHeight="1" outlineLevel="1" thickBot="1">
      <c r="B317" s="781"/>
      <c r="C317" s="782"/>
      <c r="D317" s="782"/>
      <c r="E317" s="782"/>
      <c r="F317" s="783"/>
      <c r="G317" s="458" t="s">
        <v>1543</v>
      </c>
      <c r="H317" s="513" t="s">
        <v>2124</v>
      </c>
      <c r="I317" s="737"/>
      <c r="J317" s="385"/>
      <c r="K317" s="265">
        <v>3</v>
      </c>
      <c r="L317" s="502">
        <f>E$314*M317</f>
        <v>0</v>
      </c>
      <c r="M317" s="356">
        <v>0</v>
      </c>
      <c r="Q317"/>
      <c r="R317"/>
      <c r="S317"/>
      <c r="T317"/>
      <c r="U317"/>
    </row>
    <row r="318" spans="2:21" ht="24" customHeight="1" collapsed="1">
      <c r="B318" s="917" t="str">
        <f>Languages!C$311</f>
        <v>Detention facilities</v>
      </c>
      <c r="C318" s="918"/>
      <c r="D318" s="579" t="s">
        <v>2178</v>
      </c>
      <c r="E318" s="933">
        <v>1</v>
      </c>
      <c r="F318" s="934"/>
      <c r="G318" s="964" t="str">
        <f>G$13</f>
        <v>Whole Asset or Building</v>
      </c>
      <c r="H318" s="967" t="s">
        <v>2124</v>
      </c>
      <c r="I318" s="501" t="s">
        <v>2103</v>
      </c>
      <c r="J318" s="927" t="s">
        <v>2212</v>
      </c>
      <c r="K318" s="929">
        <f>SUM(K321:K323)/3</f>
        <v>3</v>
      </c>
      <c r="L318" s="947">
        <f>SUM(L321:L323)/1000000</f>
        <v>0</v>
      </c>
      <c r="M318" s="962" t="str">
        <f>M$13</f>
        <v>million Euro</v>
      </c>
      <c r="Q318"/>
      <c r="R318"/>
      <c r="S318"/>
      <c r="T318"/>
      <c r="U318"/>
    </row>
    <row r="319" spans="2:21" ht="22" customHeight="1" thickBot="1">
      <c r="B319" s="919"/>
      <c r="C319" s="920"/>
      <c r="D319" s="550" t="s">
        <v>1555</v>
      </c>
      <c r="E319" s="944">
        <f>E318*E320</f>
        <v>7000</v>
      </c>
      <c r="F319" s="932"/>
      <c r="G319" s="965"/>
      <c r="H319" s="968"/>
      <c r="I319" s="538" t="s">
        <v>2115</v>
      </c>
      <c r="J319" s="928"/>
      <c r="K319" s="930"/>
      <c r="L319" s="948"/>
      <c r="M319" s="963"/>
      <c r="Q319"/>
      <c r="R319"/>
      <c r="S319"/>
      <c r="T319"/>
      <c r="U319"/>
    </row>
    <row r="320" spans="2:21" ht="25" hidden="1" customHeight="1" outlineLevel="1">
      <c r="B320" s="915"/>
      <c r="C320" s="916"/>
      <c r="D320" s="507" t="s">
        <v>1554</v>
      </c>
      <c r="E320" s="337">
        <v>7000</v>
      </c>
      <c r="F320" s="171" t="s">
        <v>1528</v>
      </c>
      <c r="G320" s="461" t="str">
        <f>G$15</f>
        <v>Components</v>
      </c>
      <c r="H320" s="330" t="s">
        <v>2250</v>
      </c>
      <c r="I320" s="497" t="s">
        <v>2141</v>
      </c>
      <c r="J320" s="351" t="str">
        <f>Languages!$K$185</f>
        <v>Action required</v>
      </c>
      <c r="K320" s="362"/>
      <c r="L320" s="498" t="s">
        <v>2144</v>
      </c>
      <c r="M320" s="384" t="s">
        <v>2143</v>
      </c>
      <c r="Q320"/>
      <c r="R320"/>
      <c r="S320"/>
      <c r="T320"/>
      <c r="U320"/>
    </row>
    <row r="321" spans="2:29" ht="25" hidden="1" customHeight="1" outlineLevel="1">
      <c r="B321" s="781"/>
      <c r="C321" s="782"/>
      <c r="D321" s="779"/>
      <c r="E321" s="779"/>
      <c r="F321" s="780"/>
      <c r="G321" s="238" t="s">
        <v>1543</v>
      </c>
      <c r="H321" s="333" t="s">
        <v>2124</v>
      </c>
      <c r="I321" s="736"/>
      <c r="J321" s="195"/>
      <c r="K321" s="167">
        <v>3</v>
      </c>
      <c r="L321" s="390">
        <f>E$320*M321</f>
        <v>0</v>
      </c>
      <c r="M321" s="345">
        <v>0</v>
      </c>
      <c r="Q321"/>
      <c r="R321"/>
      <c r="S321"/>
      <c r="T321"/>
      <c r="U321"/>
    </row>
    <row r="322" spans="2:29" ht="25" hidden="1" customHeight="1" outlineLevel="1">
      <c r="B322" s="781"/>
      <c r="C322" s="782"/>
      <c r="D322" s="782"/>
      <c r="E322" s="782"/>
      <c r="F322" s="783"/>
      <c r="G322" s="238" t="s">
        <v>1543</v>
      </c>
      <c r="H322" s="333" t="s">
        <v>2124</v>
      </c>
      <c r="I322" s="737"/>
      <c r="J322" s="195"/>
      <c r="K322" s="167">
        <v>3</v>
      </c>
      <c r="L322" s="390">
        <f>E$320*M322</f>
        <v>0</v>
      </c>
      <c r="M322" s="345">
        <v>0</v>
      </c>
      <c r="Q322"/>
      <c r="R322"/>
      <c r="S322"/>
      <c r="T322"/>
      <c r="U322"/>
    </row>
    <row r="323" spans="2:29" ht="25" hidden="1" customHeight="1" outlineLevel="1" thickBot="1">
      <c r="B323" s="824"/>
      <c r="C323" s="825"/>
      <c r="D323" s="825"/>
      <c r="E323" s="825"/>
      <c r="F323" s="826"/>
      <c r="G323" s="238" t="s">
        <v>1543</v>
      </c>
      <c r="H323" s="333" t="s">
        <v>2124</v>
      </c>
      <c r="I323" s="975"/>
      <c r="J323" s="195"/>
      <c r="K323" s="167">
        <v>3</v>
      </c>
      <c r="L323" s="390">
        <f>E$320*M323</f>
        <v>0</v>
      </c>
      <c r="M323" s="345">
        <v>0</v>
      </c>
      <c r="Q323"/>
      <c r="R323"/>
      <c r="S323"/>
      <c r="T323"/>
      <c r="U323"/>
    </row>
    <row r="324" spans="2:29" ht="15" customHeight="1" collapsed="1" thickBot="1">
      <c r="B324" s="163" t="str">
        <f>$B$29</f>
        <v>International Initiative for Sustainable Built Environment</v>
      </c>
      <c r="C324" s="163"/>
      <c r="D324" s="163"/>
      <c r="E324" s="163"/>
      <c r="F324" s="163"/>
      <c r="G324" s="165"/>
      <c r="H324" s="12"/>
      <c r="I324" s="165"/>
      <c r="J324" s="12"/>
      <c r="K324" s="12"/>
      <c r="L324" s="12"/>
      <c r="M324" s="12"/>
    </row>
    <row r="325" spans="2:29" s="4" customFormat="1" ht="30" customHeight="1" thickBot="1">
      <c r="B325" s="765" t="str">
        <f>Settings!$B$9</f>
        <v>Damage Assessments for Sustainable Reconstruction in Ukraine</v>
      </c>
      <c r="C325" s="766"/>
      <c r="D325" s="766"/>
      <c r="E325" s="766"/>
      <c r="F325" s="766"/>
      <c r="G325" s="766"/>
      <c r="H325" s="966"/>
      <c r="I325" s="935" t="str">
        <f>I$2</f>
        <v>Irpin Urban Area</v>
      </c>
      <c r="J325" s="936"/>
      <c r="K325" s="937"/>
      <c r="L325" s="173" t="str">
        <f>L$2</f>
        <v>27Jan23</v>
      </c>
      <c r="M325" s="157">
        <v>16</v>
      </c>
      <c r="N325"/>
      <c r="O325"/>
      <c r="P325"/>
      <c r="Q325" s="2"/>
      <c r="S325" s="10"/>
      <c r="V325"/>
      <c r="W325"/>
      <c r="X325"/>
      <c r="Y325"/>
      <c r="Z325"/>
      <c r="AA325"/>
      <c r="AB325"/>
      <c r="AC325"/>
    </row>
    <row r="326" spans="2:29" s="4" customFormat="1" ht="27" customHeight="1">
      <c r="B326" s="938" t="str">
        <f>Languages!$C$191&amp;" 1"</f>
        <v>Commercial facilities 1</v>
      </c>
      <c r="C326" s="939"/>
      <c r="D326" s="787" t="str">
        <f>Languages!$N$176</f>
        <v>Information on main asset &amp; sub-assets</v>
      </c>
      <c r="E326" s="788" t="str">
        <f>Languages!$I$188</f>
        <v>Area and/or quantity assessed</v>
      </c>
      <c r="F326" s="789"/>
      <c r="G326" s="792" t="str">
        <f>Languages!$M$194</f>
        <v>Enter info on type and area / quantity of assets, type and extent of damage.</v>
      </c>
      <c r="H326" s="809"/>
      <c r="I326" s="796" t="s">
        <v>2118</v>
      </c>
      <c r="J326" s="798" t="str">
        <f>Languages!$K$177</f>
        <v>Approx. repair costs, priority 4 &amp; 5 assets, m. Euro</v>
      </c>
      <c r="K326" s="799"/>
      <c r="L326" s="389">
        <f>IF(K330&gt;3,L330)+IF(K338&gt;3,L338)</f>
        <v>0</v>
      </c>
      <c r="M326" s="259" t="s">
        <v>1966</v>
      </c>
      <c r="N326"/>
      <c r="O326"/>
      <c r="P326"/>
      <c r="Q326" s="2"/>
      <c r="R326"/>
      <c r="S326"/>
      <c r="V326"/>
      <c r="W326"/>
      <c r="X326"/>
      <c r="Y326"/>
      <c r="Z326"/>
      <c r="AA326"/>
      <c r="AB326"/>
      <c r="AC326"/>
    </row>
    <row r="327" spans="2:29" ht="27" customHeight="1">
      <c r="B327" s="940"/>
      <c r="C327" s="941"/>
      <c r="D327" s="768"/>
      <c r="E327" s="790"/>
      <c r="F327" s="791"/>
      <c r="G327" s="794"/>
      <c r="H327" s="810"/>
      <c r="I327" s="797"/>
      <c r="J327" s="852" t="str">
        <f>Languages!$K$176</f>
        <v>Approx. total repair costs, m. Euro</v>
      </c>
      <c r="K327" s="853"/>
      <c r="L327" s="264">
        <f>(L330+L338)</f>
        <v>3.1479999999999997</v>
      </c>
      <c r="M327" s="260" t="s">
        <v>1966</v>
      </c>
      <c r="O327"/>
    </row>
    <row r="328" spans="2:29" ht="21" customHeight="1">
      <c r="B328" s="940"/>
      <c r="C328" s="941"/>
      <c r="D328" s="768"/>
      <c r="E328" s="802" t="s">
        <v>1546</v>
      </c>
      <c r="F328" s="769" t="str">
        <f>Languages!$N$178</f>
        <v>Unit type</v>
      </c>
      <c r="G328" s="769" t="s">
        <v>2122</v>
      </c>
      <c r="H328" s="769" t="s">
        <v>2132</v>
      </c>
      <c r="I328" s="331" t="s">
        <v>2117</v>
      </c>
      <c r="J328" s="771" t="str">
        <f>Languages!$K$178</f>
        <v>Actions</v>
      </c>
      <c r="K328" s="772"/>
      <c r="L328" s="945" t="str">
        <f>Languages!$M$176</f>
        <v>Est. repair cost</v>
      </c>
      <c r="M328" s="946"/>
      <c r="O328"/>
    </row>
    <row r="329" spans="2:29" ht="25" customHeight="1" thickBot="1">
      <c r="B329" s="940"/>
      <c r="C329" s="941"/>
      <c r="D329" s="768"/>
      <c r="E329" s="803"/>
      <c r="F329" s="770"/>
      <c r="G329" s="770"/>
      <c r="H329" s="770"/>
      <c r="I329" s="330" t="str">
        <f>Languages!$E$190</f>
        <v>Social Impact level</v>
      </c>
      <c r="J329" s="492" t="str">
        <f>Languages!$K$185</f>
        <v>Action required</v>
      </c>
      <c r="K329" s="504" t="str">
        <f>Languages!$G$193</f>
        <v>Priority 
1 - 5</v>
      </c>
      <c r="L329" s="493" t="str">
        <f>Languages!$M$177</f>
        <v>Total m. Euro</v>
      </c>
      <c r="M329" s="494" t="str">
        <f>Languages!$M$178&amp;" per m2"</f>
        <v>Est. Euro per m2</v>
      </c>
      <c r="O329"/>
    </row>
    <row r="330" spans="2:29" ht="24" customHeight="1">
      <c r="B330" s="917" t="str">
        <f>Languages!C$290</f>
        <v>Office building =&lt; 3 floors</v>
      </c>
      <c r="C330" s="918"/>
      <c r="D330" s="579" t="s">
        <v>2178</v>
      </c>
      <c r="E330" s="933">
        <v>20</v>
      </c>
      <c r="F330" s="934"/>
      <c r="G330" s="964" t="str">
        <f>G$13</f>
        <v>Whole Asset or Building</v>
      </c>
      <c r="H330" s="967" t="s">
        <v>2124</v>
      </c>
      <c r="I330" s="501" t="s">
        <v>2103</v>
      </c>
      <c r="J330" s="927" t="s">
        <v>2212</v>
      </c>
      <c r="K330" s="929">
        <f>SUM(K333:K337)/5</f>
        <v>3</v>
      </c>
      <c r="L330" s="947">
        <f>SUM(L333:L337)/1000000</f>
        <v>1.583</v>
      </c>
      <c r="M330" s="962" t="str">
        <f>M$13</f>
        <v>million Euro</v>
      </c>
      <c r="Q330"/>
      <c r="R330"/>
      <c r="S330"/>
      <c r="T330"/>
      <c r="U330"/>
    </row>
    <row r="331" spans="2:29" ht="24" customHeight="1" thickBot="1">
      <c r="B331" s="919"/>
      <c r="C331" s="920"/>
      <c r="D331" s="550" t="s">
        <v>1555</v>
      </c>
      <c r="E331" s="944">
        <f>E330*E332</f>
        <v>160000</v>
      </c>
      <c r="F331" s="932"/>
      <c r="G331" s="965"/>
      <c r="H331" s="968"/>
      <c r="I331" s="538" t="s">
        <v>2115</v>
      </c>
      <c r="J331" s="928"/>
      <c r="K331" s="930"/>
      <c r="L331" s="948"/>
      <c r="M331" s="963"/>
      <c r="Q331"/>
      <c r="R331"/>
      <c r="S331"/>
      <c r="T331"/>
      <c r="U331"/>
    </row>
    <row r="332" spans="2:29" ht="25" hidden="1" customHeight="1" outlineLevel="1">
      <c r="B332" s="915"/>
      <c r="C332" s="916"/>
      <c r="D332" s="507" t="s">
        <v>1554</v>
      </c>
      <c r="E332" s="337">
        <v>8000</v>
      </c>
      <c r="F332" s="171" t="s">
        <v>1528</v>
      </c>
      <c r="G332" s="461" t="str">
        <f>G$15</f>
        <v>Components</v>
      </c>
      <c r="H332" s="330" t="s">
        <v>2250</v>
      </c>
      <c r="I332" s="497" t="s">
        <v>2141</v>
      </c>
      <c r="J332" s="351" t="str">
        <f>Languages!$K$185</f>
        <v>Action required</v>
      </c>
      <c r="K332" s="362"/>
      <c r="L332" s="498" t="s">
        <v>2144</v>
      </c>
      <c r="M332" s="384" t="s">
        <v>2143</v>
      </c>
      <c r="Q332"/>
      <c r="R332"/>
      <c r="S332"/>
      <c r="T332"/>
      <c r="U332"/>
    </row>
    <row r="333" spans="2:29" ht="25" hidden="1" customHeight="1" outlineLevel="1">
      <c r="B333" s="278"/>
      <c r="C333" s="279"/>
      <c r="D333" s="277"/>
      <c r="E333" s="277"/>
      <c r="F333" s="319"/>
      <c r="G333" s="238" t="s">
        <v>1983</v>
      </c>
      <c r="H333" s="333" t="s">
        <v>2124</v>
      </c>
      <c r="I333" s="409"/>
      <c r="J333" s="195"/>
      <c r="K333" s="266">
        <v>3</v>
      </c>
      <c r="L333" s="390">
        <f>E$332*M333</f>
        <v>96000</v>
      </c>
      <c r="M333" s="345">
        <v>12</v>
      </c>
      <c r="Q333"/>
      <c r="R333"/>
      <c r="S333"/>
      <c r="T333"/>
      <c r="U333"/>
    </row>
    <row r="334" spans="2:29" ht="24" hidden="1" customHeight="1" outlineLevel="1">
      <c r="B334" s="278"/>
      <c r="C334" s="279"/>
      <c r="D334" s="279"/>
      <c r="E334" s="279"/>
      <c r="F334" s="320"/>
      <c r="G334" s="238" t="s">
        <v>1543</v>
      </c>
      <c r="H334" s="333" t="s">
        <v>2124</v>
      </c>
      <c r="I334" s="324"/>
      <c r="J334" s="195"/>
      <c r="K334" s="266">
        <v>3</v>
      </c>
      <c r="L334" s="390">
        <f>E$332*M334</f>
        <v>200000</v>
      </c>
      <c r="M334" s="345">
        <v>25</v>
      </c>
      <c r="Q334"/>
      <c r="R334"/>
      <c r="S334"/>
      <c r="T334"/>
      <c r="U334"/>
    </row>
    <row r="335" spans="2:29" ht="25" hidden="1" customHeight="1" outlineLevel="1">
      <c r="B335" s="416"/>
      <c r="C335" s="417"/>
      <c r="D335" s="417"/>
      <c r="E335" s="417"/>
      <c r="F335" s="418"/>
      <c r="G335" s="238" t="s">
        <v>2154</v>
      </c>
      <c r="H335" s="195" t="s">
        <v>2124</v>
      </c>
      <c r="I335" s="405"/>
      <c r="J335" s="195" t="s">
        <v>1473</v>
      </c>
      <c r="K335" s="266">
        <v>3</v>
      </c>
      <c r="L335" s="390">
        <f t="shared" ref="L335" si="19">E$174*M335</f>
        <v>1050000</v>
      </c>
      <c r="M335" s="345">
        <v>70</v>
      </c>
      <c r="Q335"/>
      <c r="R335"/>
      <c r="S335"/>
      <c r="T335"/>
      <c r="U335"/>
    </row>
    <row r="336" spans="2:29" ht="25" hidden="1" customHeight="1" outlineLevel="1">
      <c r="B336" s="978" t="s">
        <v>2185</v>
      </c>
      <c r="C336" s="979"/>
      <c r="D336" s="979"/>
      <c r="E336" s="979"/>
      <c r="F336" s="980"/>
      <c r="G336" s="238" t="s">
        <v>1946</v>
      </c>
      <c r="H336" s="195" t="s">
        <v>2125</v>
      </c>
      <c r="I336" s="408"/>
      <c r="J336" s="413" t="s">
        <v>1448</v>
      </c>
      <c r="K336" s="266">
        <v>3</v>
      </c>
      <c r="L336" s="403">
        <v>12000</v>
      </c>
      <c r="M336" s="432"/>
      <c r="Q336"/>
      <c r="R336"/>
      <c r="S336"/>
      <c r="T336"/>
      <c r="U336"/>
    </row>
    <row r="337" spans="2:29" ht="25" hidden="1" customHeight="1" outlineLevel="1" thickBot="1">
      <c r="B337" s="998" t="s">
        <v>2182</v>
      </c>
      <c r="C337" s="973"/>
      <c r="D337" s="973"/>
      <c r="E337" s="973"/>
      <c r="F337" s="974"/>
      <c r="G337" s="458" t="s">
        <v>1541</v>
      </c>
      <c r="H337" s="385" t="s">
        <v>2123</v>
      </c>
      <c r="I337" s="404" t="s">
        <v>2159</v>
      </c>
      <c r="J337" s="385" t="s">
        <v>1454</v>
      </c>
      <c r="K337" s="265">
        <v>3</v>
      </c>
      <c r="L337" s="514">
        <v>225000</v>
      </c>
      <c r="M337" s="515"/>
      <c r="Q337"/>
      <c r="R337"/>
      <c r="S337"/>
      <c r="T337"/>
      <c r="U337"/>
    </row>
    <row r="338" spans="2:29" ht="24" customHeight="1" collapsed="1">
      <c r="B338" s="917" t="str">
        <f>Languages!C$291</f>
        <v>Office building 4-15 floors</v>
      </c>
      <c r="C338" s="918"/>
      <c r="D338" s="579" t="s">
        <v>2178</v>
      </c>
      <c r="E338" s="933">
        <v>10</v>
      </c>
      <c r="F338" s="934"/>
      <c r="G338" s="964" t="str">
        <f>G$13</f>
        <v>Whole Asset or Building</v>
      </c>
      <c r="H338" s="967" t="s">
        <v>2124</v>
      </c>
      <c r="I338" s="501" t="s">
        <v>2103</v>
      </c>
      <c r="J338" s="927" t="s">
        <v>2212</v>
      </c>
      <c r="K338" s="929">
        <f>SUM(K341:K346)/6</f>
        <v>3</v>
      </c>
      <c r="L338" s="947">
        <f>SUM(L341:L346)/1000000</f>
        <v>1.5649999999999999</v>
      </c>
      <c r="M338" s="962" t="str">
        <f>M$13</f>
        <v>million Euro</v>
      </c>
      <c r="Q338"/>
      <c r="R338"/>
      <c r="S338"/>
      <c r="T338"/>
      <c r="U338"/>
    </row>
    <row r="339" spans="2:29" ht="25" customHeight="1" thickBot="1">
      <c r="B339" s="919"/>
      <c r="C339" s="920"/>
      <c r="D339" s="550" t="s">
        <v>1555</v>
      </c>
      <c r="E339" s="944">
        <f>E338*E340</f>
        <v>160000</v>
      </c>
      <c r="F339" s="932"/>
      <c r="G339" s="965"/>
      <c r="H339" s="968"/>
      <c r="I339" s="538" t="s">
        <v>2115</v>
      </c>
      <c r="J339" s="928"/>
      <c r="K339" s="930"/>
      <c r="L339" s="948"/>
      <c r="M339" s="963"/>
      <c r="Q339"/>
      <c r="R339"/>
      <c r="S339"/>
      <c r="T339"/>
      <c r="U339"/>
    </row>
    <row r="340" spans="2:29" ht="25" hidden="1" customHeight="1" outlineLevel="1">
      <c r="B340" s="915"/>
      <c r="C340" s="916"/>
      <c r="D340" s="507" t="s">
        <v>1554</v>
      </c>
      <c r="E340" s="337">
        <v>16000</v>
      </c>
      <c r="F340" s="171" t="s">
        <v>1528</v>
      </c>
      <c r="G340" s="461" t="str">
        <f>G$15</f>
        <v>Components</v>
      </c>
      <c r="H340" s="330" t="s">
        <v>2250</v>
      </c>
      <c r="I340" s="497" t="s">
        <v>2141</v>
      </c>
      <c r="J340" s="351" t="str">
        <f>Languages!$K$185</f>
        <v>Action required</v>
      </c>
      <c r="K340" s="362"/>
      <c r="L340" s="498" t="s">
        <v>2144</v>
      </c>
      <c r="M340" s="384" t="s">
        <v>2143</v>
      </c>
      <c r="Q340"/>
      <c r="R340"/>
      <c r="S340"/>
      <c r="T340"/>
      <c r="U340"/>
    </row>
    <row r="341" spans="2:29" ht="25" hidden="1" customHeight="1" outlineLevel="1">
      <c r="B341" s="278"/>
      <c r="C341" s="279"/>
      <c r="D341" s="277"/>
      <c r="E341" s="277"/>
      <c r="F341" s="319"/>
      <c r="G341" s="238" t="s">
        <v>1983</v>
      </c>
      <c r="H341" s="333" t="s">
        <v>2124</v>
      </c>
      <c r="I341" s="409"/>
      <c r="J341" s="195" t="s">
        <v>1449</v>
      </c>
      <c r="K341" s="266">
        <v>3</v>
      </c>
      <c r="L341" s="390">
        <f t="shared" ref="L341:L344" si="20">E$340*M341</f>
        <v>32000</v>
      </c>
      <c r="M341" s="345">
        <v>2</v>
      </c>
      <c r="Q341"/>
      <c r="R341"/>
      <c r="S341"/>
      <c r="T341"/>
      <c r="U341"/>
    </row>
    <row r="342" spans="2:29" ht="25" hidden="1" customHeight="1" outlineLevel="1">
      <c r="B342" s="278"/>
      <c r="C342" s="279"/>
      <c r="D342" s="279"/>
      <c r="E342" s="279"/>
      <c r="F342" s="320"/>
      <c r="G342" s="238" t="s">
        <v>1543</v>
      </c>
      <c r="H342" s="333" t="s">
        <v>2124</v>
      </c>
      <c r="I342" s="324"/>
      <c r="J342" s="195" t="s">
        <v>1449</v>
      </c>
      <c r="K342" s="266">
        <v>3</v>
      </c>
      <c r="L342" s="390">
        <f t="shared" si="20"/>
        <v>176000</v>
      </c>
      <c r="M342" s="345">
        <v>11</v>
      </c>
      <c r="Q342"/>
      <c r="R342"/>
      <c r="S342"/>
      <c r="T342"/>
      <c r="U342"/>
    </row>
    <row r="343" spans="2:29" ht="25" hidden="1" customHeight="1" outlineLevel="1">
      <c r="B343" s="278"/>
      <c r="C343" s="279"/>
      <c r="D343" s="279"/>
      <c r="E343" s="279"/>
      <c r="F343" s="320"/>
      <c r="G343" s="238" t="s">
        <v>1540</v>
      </c>
      <c r="H343" s="333" t="s">
        <v>2124</v>
      </c>
      <c r="I343" s="324"/>
      <c r="J343" s="195" t="s">
        <v>1454</v>
      </c>
      <c r="K343" s="266">
        <v>3</v>
      </c>
      <c r="L343" s="390">
        <f t="shared" si="20"/>
        <v>240000</v>
      </c>
      <c r="M343" s="345">
        <v>15</v>
      </c>
      <c r="Q343"/>
      <c r="R343"/>
      <c r="S343"/>
      <c r="T343"/>
      <c r="U343"/>
    </row>
    <row r="344" spans="2:29" ht="25" hidden="1" customHeight="1" outlineLevel="1">
      <c r="B344" s="953"/>
      <c r="C344" s="954"/>
      <c r="D344" s="954"/>
      <c r="E344" s="954"/>
      <c r="F344" s="955"/>
      <c r="G344" s="238" t="s">
        <v>2154</v>
      </c>
      <c r="H344" s="195" t="s">
        <v>2124</v>
      </c>
      <c r="I344" s="408"/>
      <c r="J344" s="195" t="s">
        <v>1473</v>
      </c>
      <c r="K344" s="266">
        <v>3</v>
      </c>
      <c r="L344" s="390">
        <f t="shared" si="20"/>
        <v>880000</v>
      </c>
      <c r="M344" s="345">
        <v>55</v>
      </c>
      <c r="Q344"/>
      <c r="R344"/>
      <c r="S344"/>
      <c r="T344"/>
      <c r="U344"/>
    </row>
    <row r="345" spans="2:29" ht="25" hidden="1" customHeight="1" outlineLevel="1">
      <c r="B345" s="978" t="s">
        <v>2181</v>
      </c>
      <c r="C345" s="979"/>
      <c r="D345" s="979"/>
      <c r="E345" s="979"/>
      <c r="F345" s="980"/>
      <c r="G345" s="238" t="s">
        <v>1541</v>
      </c>
      <c r="H345" s="195" t="s">
        <v>2123</v>
      </c>
      <c r="I345" s="406" t="s">
        <v>2159</v>
      </c>
      <c r="J345" s="195" t="s">
        <v>1454</v>
      </c>
      <c r="K345" s="266">
        <v>3</v>
      </c>
      <c r="L345" s="403">
        <v>225000</v>
      </c>
      <c r="M345" s="432"/>
      <c r="Q345"/>
      <c r="R345"/>
      <c r="S345"/>
      <c r="T345"/>
      <c r="U345"/>
    </row>
    <row r="346" spans="2:29" ht="25" hidden="1" customHeight="1" outlineLevel="1" thickBot="1">
      <c r="B346" s="978" t="s">
        <v>2185</v>
      </c>
      <c r="C346" s="979"/>
      <c r="D346" s="979"/>
      <c r="E346" s="979"/>
      <c r="F346" s="980"/>
      <c r="G346" s="238" t="s">
        <v>1946</v>
      </c>
      <c r="H346" s="195" t="s">
        <v>2125</v>
      </c>
      <c r="I346" s="405"/>
      <c r="J346" s="466" t="s">
        <v>1448</v>
      </c>
      <c r="K346" s="266">
        <v>3</v>
      </c>
      <c r="L346" s="403">
        <v>12000</v>
      </c>
      <c r="M346" s="432"/>
      <c r="Q346"/>
      <c r="R346"/>
      <c r="S346"/>
      <c r="T346"/>
      <c r="U346"/>
    </row>
    <row r="347" spans="2:29" ht="15" customHeight="1" collapsed="1" thickBot="1">
      <c r="B347" s="163" t="str">
        <f>$B$29</f>
        <v>International Initiative for Sustainable Built Environment</v>
      </c>
      <c r="C347" s="163"/>
      <c r="D347" s="163"/>
      <c r="E347" s="163"/>
      <c r="F347" s="163"/>
      <c r="G347" s="165"/>
      <c r="H347" s="12"/>
      <c r="I347" s="165"/>
      <c r="J347" s="12"/>
      <c r="K347" s="12"/>
      <c r="L347" s="12"/>
      <c r="M347" s="12"/>
    </row>
    <row r="348" spans="2:29" s="4" customFormat="1" ht="30" customHeight="1" thickBot="1">
      <c r="B348" s="765" t="str">
        <f>Settings!$B$9</f>
        <v>Damage Assessments for Sustainable Reconstruction in Ukraine</v>
      </c>
      <c r="C348" s="766"/>
      <c r="D348" s="766"/>
      <c r="E348" s="766"/>
      <c r="F348" s="766"/>
      <c r="G348" s="766"/>
      <c r="H348" s="966"/>
      <c r="I348" s="935" t="str">
        <f>I$2</f>
        <v>Irpin Urban Area</v>
      </c>
      <c r="J348" s="936"/>
      <c r="K348" s="937"/>
      <c r="L348" s="173" t="str">
        <f>L$2</f>
        <v>27Jan23</v>
      </c>
      <c r="M348" s="157">
        <v>17</v>
      </c>
      <c r="N348"/>
      <c r="O348"/>
      <c r="P348"/>
      <c r="Q348" s="2"/>
      <c r="S348" s="10"/>
      <c r="V348"/>
      <c r="W348"/>
      <c r="X348"/>
      <c r="Y348"/>
      <c r="Z348"/>
      <c r="AA348"/>
      <c r="AB348"/>
      <c r="AC348"/>
    </row>
    <row r="349" spans="2:29" s="4" customFormat="1" ht="27" customHeight="1">
      <c r="B349" s="938" t="str">
        <f>Languages!$C$191&amp;" 2"</f>
        <v>Commercial facilities 2</v>
      </c>
      <c r="C349" s="939"/>
      <c r="D349" s="787" t="str">
        <f>Languages!$N$176</f>
        <v>Information on main asset &amp; sub-assets</v>
      </c>
      <c r="E349" s="788" t="str">
        <f>Languages!$I$188</f>
        <v>Area and/or quantity assessed</v>
      </c>
      <c r="F349" s="789"/>
      <c r="G349" s="792" t="str">
        <f>Languages!$M$194</f>
        <v>Enter info on type and area / quantity of assets, type and extent of damage.</v>
      </c>
      <c r="H349" s="809"/>
      <c r="I349" s="796" t="s">
        <v>2118</v>
      </c>
      <c r="J349" s="798" t="str">
        <f>Languages!$K$177</f>
        <v>Approx. repair costs, priority 4 &amp; 5 assets, m. Euro</v>
      </c>
      <c r="K349" s="799"/>
      <c r="L349" s="389">
        <f>L353</f>
        <v>5.8029999999999999</v>
      </c>
      <c r="M349" s="259" t="s">
        <v>1966</v>
      </c>
      <c r="N349"/>
      <c r="O349"/>
      <c r="P349"/>
      <c r="Q349" s="2"/>
      <c r="R349"/>
      <c r="S349"/>
      <c r="V349"/>
      <c r="W349"/>
      <c r="X349"/>
      <c r="Y349"/>
      <c r="Z349"/>
      <c r="AA349"/>
      <c r="AB349"/>
      <c r="AC349"/>
    </row>
    <row r="350" spans="2:29" ht="27" customHeight="1">
      <c r="B350" s="940"/>
      <c r="C350" s="941"/>
      <c r="D350" s="768"/>
      <c r="E350" s="790"/>
      <c r="F350" s="791"/>
      <c r="G350" s="794"/>
      <c r="H350" s="810"/>
      <c r="I350" s="797"/>
      <c r="J350" s="852" t="str">
        <f>Languages!$K$176</f>
        <v>Approx. total repair costs, m. Euro</v>
      </c>
      <c r="K350" s="853"/>
      <c r="L350" s="264">
        <f>L353</f>
        <v>5.8029999999999999</v>
      </c>
      <c r="M350" s="260" t="s">
        <v>1966</v>
      </c>
      <c r="O350"/>
    </row>
    <row r="351" spans="2:29" ht="21" customHeight="1">
      <c r="B351" s="940"/>
      <c r="C351" s="941"/>
      <c r="D351" s="768"/>
      <c r="E351" s="802" t="s">
        <v>1546</v>
      </c>
      <c r="F351" s="769" t="str">
        <f>Languages!$N$178</f>
        <v>Unit type</v>
      </c>
      <c r="G351" s="769" t="s">
        <v>2122</v>
      </c>
      <c r="H351" s="769" t="s">
        <v>2132</v>
      </c>
      <c r="I351" s="331" t="s">
        <v>2117</v>
      </c>
      <c r="J351" s="771" t="str">
        <f>Languages!$K$178</f>
        <v>Actions</v>
      </c>
      <c r="K351" s="772"/>
      <c r="L351" s="945" t="str">
        <f>Languages!$M$176</f>
        <v>Est. repair cost</v>
      </c>
      <c r="M351" s="946"/>
      <c r="O351"/>
    </row>
    <row r="352" spans="2:29" ht="28" customHeight="1" thickBot="1">
      <c r="B352" s="940"/>
      <c r="C352" s="941"/>
      <c r="D352" s="768"/>
      <c r="E352" s="803"/>
      <c r="F352" s="770"/>
      <c r="G352" s="770"/>
      <c r="H352" s="770"/>
      <c r="I352" s="330" t="str">
        <f>Languages!$E$190</f>
        <v>Social Impact level</v>
      </c>
      <c r="J352" s="492" t="str">
        <f>Languages!$K$185</f>
        <v>Action required</v>
      </c>
      <c r="K352" s="504" t="str">
        <f>Languages!$G$193</f>
        <v>Priority 
1 - 5</v>
      </c>
      <c r="L352" s="493" t="str">
        <f>Languages!$M$177</f>
        <v>Total m. Euro</v>
      </c>
      <c r="M352" s="494" t="str">
        <f>Languages!$M$178&amp;" per m2"</f>
        <v>Est. Euro per m2</v>
      </c>
      <c r="O352"/>
    </row>
    <row r="353" spans="2:21" ht="24" customHeight="1">
      <c r="B353" s="917" t="str">
        <f>Languages!C$292</f>
        <v>Office building 16+ floors</v>
      </c>
      <c r="C353" s="918"/>
      <c r="D353" s="579" t="s">
        <v>2178</v>
      </c>
      <c r="E353" s="933">
        <v>4</v>
      </c>
      <c r="F353" s="934"/>
      <c r="G353" s="964" t="str">
        <f>G$13</f>
        <v>Whole Asset or Building</v>
      </c>
      <c r="H353" s="967" t="s">
        <v>2124</v>
      </c>
      <c r="I353" s="501" t="s">
        <v>2103</v>
      </c>
      <c r="J353" s="927" t="s">
        <v>2212</v>
      </c>
      <c r="K353" s="929">
        <f>SUM(K356:K367)/12</f>
        <v>3.3333333333333335</v>
      </c>
      <c r="L353" s="947">
        <f>SUM(L356:L367)/1000000</f>
        <v>5.8029999999999999</v>
      </c>
      <c r="M353" s="962" t="str">
        <f>M$13</f>
        <v>million Euro</v>
      </c>
      <c r="Q353"/>
      <c r="R353"/>
      <c r="S353"/>
      <c r="T353"/>
      <c r="U353"/>
    </row>
    <row r="354" spans="2:21" ht="24" customHeight="1" thickBot="1">
      <c r="B354" s="919"/>
      <c r="C354" s="920"/>
      <c r="D354" s="550" t="s">
        <v>1555</v>
      </c>
      <c r="E354" s="944">
        <f>E353*E355</f>
        <v>80000</v>
      </c>
      <c r="F354" s="932"/>
      <c r="G354" s="965"/>
      <c r="H354" s="968"/>
      <c r="I354" s="538" t="s">
        <v>2115</v>
      </c>
      <c r="J354" s="928"/>
      <c r="K354" s="930"/>
      <c r="L354" s="948"/>
      <c r="M354" s="963"/>
      <c r="Q354"/>
      <c r="R354"/>
      <c r="S354"/>
      <c r="T354"/>
      <c r="U354"/>
    </row>
    <row r="355" spans="2:21" ht="25" hidden="1" customHeight="1" outlineLevel="1">
      <c r="B355" s="915"/>
      <c r="C355" s="916"/>
      <c r="D355" s="507" t="s">
        <v>1554</v>
      </c>
      <c r="E355" s="336">
        <v>20000</v>
      </c>
      <c r="F355" s="496" t="s">
        <v>1528</v>
      </c>
      <c r="G355" s="461" t="str">
        <f>G$15</f>
        <v>Components</v>
      </c>
      <c r="H355" s="330" t="s">
        <v>2250</v>
      </c>
      <c r="I355" s="497" t="s">
        <v>2141</v>
      </c>
      <c r="J355" s="351" t="str">
        <f>Languages!$K$185</f>
        <v>Action required</v>
      </c>
      <c r="K355" s="362"/>
      <c r="L355" s="498" t="s">
        <v>2144</v>
      </c>
      <c r="M355" s="384" t="s">
        <v>2143</v>
      </c>
      <c r="Q355"/>
      <c r="R355"/>
      <c r="S355"/>
      <c r="T355"/>
      <c r="U355"/>
    </row>
    <row r="356" spans="2:21" ht="25" hidden="1" customHeight="1" outlineLevel="1">
      <c r="B356" s="953"/>
      <c r="C356" s="954"/>
      <c r="D356" s="954"/>
      <c r="E356" s="954"/>
      <c r="F356" s="955"/>
      <c r="G356" s="238" t="s">
        <v>1983</v>
      </c>
      <c r="H356" s="195" t="s">
        <v>2124</v>
      </c>
      <c r="I356" s="404"/>
      <c r="J356" s="195" t="s">
        <v>1473</v>
      </c>
      <c r="K356" s="266">
        <v>3</v>
      </c>
      <c r="L356" s="390">
        <f>E$174*M356</f>
        <v>210000</v>
      </c>
      <c r="M356" s="345">
        <v>14</v>
      </c>
      <c r="Q356"/>
      <c r="R356"/>
      <c r="S356"/>
      <c r="T356"/>
      <c r="U356"/>
    </row>
    <row r="357" spans="2:21" ht="25" hidden="1" customHeight="1" outlineLevel="1">
      <c r="B357" s="953"/>
      <c r="C357" s="954"/>
      <c r="D357" s="954"/>
      <c r="E357" s="954"/>
      <c r="F357" s="955"/>
      <c r="G357" s="238" t="s">
        <v>1543</v>
      </c>
      <c r="H357" s="195" t="s">
        <v>2124</v>
      </c>
      <c r="I357" s="405"/>
      <c r="J357" s="413" t="s">
        <v>2113</v>
      </c>
      <c r="K357" s="427">
        <v>3</v>
      </c>
      <c r="L357" s="390">
        <f t="shared" ref="L357:L360" si="21">E$174*M357</f>
        <v>180000</v>
      </c>
      <c r="M357" s="335">
        <v>12</v>
      </c>
      <c r="Q357"/>
      <c r="R357"/>
      <c r="S357"/>
      <c r="T357"/>
      <c r="U357"/>
    </row>
    <row r="358" spans="2:21" ht="25" hidden="1" customHeight="1" outlineLevel="1">
      <c r="B358" s="953"/>
      <c r="C358" s="954"/>
      <c r="D358" s="954"/>
      <c r="E358" s="954"/>
      <c r="F358" s="955"/>
      <c r="G358" s="238" t="s">
        <v>1540</v>
      </c>
      <c r="H358" s="195" t="s">
        <v>2124</v>
      </c>
      <c r="I358" s="405"/>
      <c r="J358" s="195" t="s">
        <v>1473</v>
      </c>
      <c r="K358" s="266">
        <v>3</v>
      </c>
      <c r="L358" s="390">
        <f t="shared" si="21"/>
        <v>1050000</v>
      </c>
      <c r="M358" s="345">
        <v>70</v>
      </c>
      <c r="Q358"/>
      <c r="R358"/>
      <c r="S358"/>
      <c r="T358"/>
      <c r="U358"/>
    </row>
    <row r="359" spans="2:21" ht="25" hidden="1" customHeight="1" outlineLevel="1">
      <c r="B359" s="953"/>
      <c r="C359" s="954"/>
      <c r="D359" s="954"/>
      <c r="E359" s="954"/>
      <c r="F359" s="955"/>
      <c r="G359" s="238" t="s">
        <v>2038</v>
      </c>
      <c r="H359" s="195" t="s">
        <v>2124</v>
      </c>
      <c r="I359" s="405"/>
      <c r="J359" s="413" t="s">
        <v>2113</v>
      </c>
      <c r="K359" s="427">
        <v>3</v>
      </c>
      <c r="L359" s="390">
        <f t="shared" si="21"/>
        <v>180000</v>
      </c>
      <c r="M359" s="335">
        <v>12</v>
      </c>
      <c r="Q359"/>
      <c r="R359"/>
      <c r="S359"/>
      <c r="T359"/>
      <c r="U359"/>
    </row>
    <row r="360" spans="2:21" ht="25" hidden="1" customHeight="1" outlineLevel="1">
      <c r="B360" s="953"/>
      <c r="C360" s="954"/>
      <c r="D360" s="954"/>
      <c r="E360" s="954"/>
      <c r="F360" s="955"/>
      <c r="G360" s="238" t="s">
        <v>2154</v>
      </c>
      <c r="H360" s="195" t="s">
        <v>2124</v>
      </c>
      <c r="I360" s="405"/>
      <c r="J360" s="195" t="s">
        <v>1473</v>
      </c>
      <c r="K360" s="266">
        <v>3</v>
      </c>
      <c r="L360" s="390">
        <f t="shared" si="21"/>
        <v>1050000</v>
      </c>
      <c r="M360" s="345">
        <v>70</v>
      </c>
      <c r="Q360"/>
      <c r="R360"/>
      <c r="S360"/>
      <c r="T360"/>
      <c r="U360"/>
    </row>
    <row r="361" spans="2:21" ht="25" hidden="1" customHeight="1" outlineLevel="1">
      <c r="B361" s="978" t="s">
        <v>2185</v>
      </c>
      <c r="C361" s="979"/>
      <c r="D361" s="979"/>
      <c r="E361" s="979"/>
      <c r="F361" s="980"/>
      <c r="G361" s="238" t="s">
        <v>1946</v>
      </c>
      <c r="H361" s="195" t="s">
        <v>2125</v>
      </c>
      <c r="I361" s="405"/>
      <c r="J361" s="413" t="s">
        <v>1448</v>
      </c>
      <c r="K361" s="427">
        <v>4</v>
      </c>
      <c r="L361" s="403">
        <v>12000</v>
      </c>
      <c r="M361" s="432"/>
      <c r="Q361"/>
      <c r="R361"/>
      <c r="S361"/>
      <c r="T361"/>
      <c r="U361"/>
    </row>
    <row r="362" spans="2:21" ht="25" hidden="1" customHeight="1" outlineLevel="1">
      <c r="B362" s="978" t="s">
        <v>2182</v>
      </c>
      <c r="C362" s="979"/>
      <c r="D362" s="979"/>
      <c r="E362" s="979"/>
      <c r="F362" s="980"/>
      <c r="G362" s="238" t="s">
        <v>1541</v>
      </c>
      <c r="H362" s="195" t="s">
        <v>2123</v>
      </c>
      <c r="I362" s="406" t="s">
        <v>2159</v>
      </c>
      <c r="J362" s="308" t="s">
        <v>1454</v>
      </c>
      <c r="K362" s="310">
        <v>5</v>
      </c>
      <c r="L362" s="403">
        <v>225000</v>
      </c>
      <c r="M362" s="432"/>
      <c r="Q362"/>
      <c r="R362"/>
      <c r="S362"/>
      <c r="T362"/>
      <c r="U362"/>
    </row>
    <row r="363" spans="2:21" ht="25" hidden="1" customHeight="1" outlineLevel="1">
      <c r="B363" s="433"/>
      <c r="C363" s="434"/>
      <c r="D363" s="434"/>
      <c r="E363" s="434"/>
      <c r="F363" s="435"/>
      <c r="G363" s="238" t="s">
        <v>1623</v>
      </c>
      <c r="H363" s="333" t="s">
        <v>2124</v>
      </c>
      <c r="I363" s="398"/>
      <c r="J363" s="195" t="s">
        <v>1454</v>
      </c>
      <c r="K363" s="167">
        <v>4</v>
      </c>
      <c r="L363" s="436">
        <f>E$355*M363</f>
        <v>440000</v>
      </c>
      <c r="M363" s="419">
        <v>22</v>
      </c>
      <c r="Q363"/>
      <c r="R363"/>
      <c r="S363"/>
      <c r="T363"/>
      <c r="U363"/>
    </row>
    <row r="364" spans="2:21" ht="25" hidden="1" customHeight="1" outlineLevel="1">
      <c r="B364" s="953"/>
      <c r="C364" s="954"/>
      <c r="D364" s="954"/>
      <c r="E364" s="954"/>
      <c r="F364" s="955"/>
      <c r="G364" s="238" t="s">
        <v>2035</v>
      </c>
      <c r="H364" s="195" t="s">
        <v>2125</v>
      </c>
      <c r="I364" s="405"/>
      <c r="J364" s="195" t="s">
        <v>1473</v>
      </c>
      <c r="K364" s="167">
        <v>3</v>
      </c>
      <c r="L364" s="436">
        <f t="shared" ref="L364:L366" si="22">E$199*M364</f>
        <v>1200000</v>
      </c>
      <c r="M364" s="419">
        <v>30</v>
      </c>
      <c r="Q364"/>
      <c r="R364"/>
      <c r="S364"/>
      <c r="T364"/>
      <c r="U364"/>
    </row>
    <row r="365" spans="2:21" ht="25" hidden="1" customHeight="1" outlineLevel="1">
      <c r="B365" s="953"/>
      <c r="C365" s="954"/>
      <c r="D365" s="954"/>
      <c r="E365" s="954"/>
      <c r="F365" s="955"/>
      <c r="G365" s="238" t="s">
        <v>2154</v>
      </c>
      <c r="H365" s="195" t="s">
        <v>2124</v>
      </c>
      <c r="I365" s="405"/>
      <c r="J365" s="195" t="s">
        <v>1458</v>
      </c>
      <c r="K365" s="167">
        <v>3</v>
      </c>
      <c r="L365" s="436">
        <f t="shared" si="22"/>
        <v>440000</v>
      </c>
      <c r="M365" s="419">
        <v>11</v>
      </c>
      <c r="Q365"/>
      <c r="R365"/>
      <c r="S365"/>
      <c r="T365"/>
      <c r="U365"/>
    </row>
    <row r="366" spans="2:21" ht="25" hidden="1" customHeight="1" outlineLevel="1">
      <c r="B366" s="953"/>
      <c r="C366" s="954"/>
      <c r="D366" s="954"/>
      <c r="E366" s="954"/>
      <c r="F366" s="955"/>
      <c r="G366" s="153" t="s">
        <v>2183</v>
      </c>
      <c r="H366" s="195" t="s">
        <v>2123</v>
      </c>
      <c r="I366" s="405"/>
      <c r="J366" s="195" t="s">
        <v>1449</v>
      </c>
      <c r="K366" s="167">
        <v>3</v>
      </c>
      <c r="L366" s="436">
        <f t="shared" si="22"/>
        <v>560000</v>
      </c>
      <c r="M366" s="419">
        <v>14</v>
      </c>
      <c r="Q366"/>
      <c r="R366"/>
      <c r="S366"/>
      <c r="T366"/>
      <c r="U366"/>
    </row>
    <row r="367" spans="2:21" ht="25" hidden="1" customHeight="1" outlineLevel="1" thickBot="1">
      <c r="B367" s="1008" t="s">
        <v>2186</v>
      </c>
      <c r="C367" s="1009"/>
      <c r="D367" s="1009"/>
      <c r="E367" s="1009"/>
      <c r="F367" s="1010"/>
      <c r="G367" s="412" t="s">
        <v>2184</v>
      </c>
      <c r="H367" s="333" t="s">
        <v>2124</v>
      </c>
      <c r="I367" s="426"/>
      <c r="J367" s="195" t="s">
        <v>1454</v>
      </c>
      <c r="K367" s="167">
        <v>3</v>
      </c>
      <c r="L367" s="403">
        <v>256000</v>
      </c>
      <c r="M367" s="432"/>
      <c r="Q367"/>
      <c r="R367"/>
      <c r="S367"/>
      <c r="T367"/>
      <c r="U367"/>
    </row>
    <row r="368" spans="2:21" ht="15" customHeight="1" collapsed="1" thickBot="1">
      <c r="B368" s="163" t="str">
        <f>$B$29</f>
        <v>International Initiative for Sustainable Built Environment</v>
      </c>
      <c r="C368" s="163"/>
      <c r="D368" s="163"/>
      <c r="E368" s="163"/>
      <c r="F368" s="163"/>
      <c r="G368" s="165"/>
      <c r="H368" s="12"/>
      <c r="I368" s="165"/>
      <c r="J368" s="12"/>
      <c r="K368" s="12"/>
      <c r="L368" s="12"/>
      <c r="M368" s="12"/>
    </row>
    <row r="369" spans="2:29" s="4" customFormat="1" ht="30" customHeight="1" thickBot="1">
      <c r="B369" s="765" t="str">
        <f>Settings!$B$9</f>
        <v>Damage Assessments for Sustainable Reconstruction in Ukraine</v>
      </c>
      <c r="C369" s="766"/>
      <c r="D369" s="766"/>
      <c r="E369" s="766"/>
      <c r="F369" s="766"/>
      <c r="G369" s="766"/>
      <c r="H369" s="966"/>
      <c r="I369" s="935" t="str">
        <f>I$2</f>
        <v>Irpin Urban Area</v>
      </c>
      <c r="J369" s="936"/>
      <c r="K369" s="937"/>
      <c r="L369" s="173" t="str">
        <f>L$2</f>
        <v>27Jan23</v>
      </c>
      <c r="M369" s="157">
        <v>18</v>
      </c>
      <c r="N369"/>
      <c r="O369"/>
      <c r="P369"/>
      <c r="Q369" s="2"/>
      <c r="S369" s="10"/>
      <c r="V369"/>
      <c r="W369"/>
      <c r="X369"/>
      <c r="Y369"/>
      <c r="Z369"/>
      <c r="AA369"/>
      <c r="AB369"/>
      <c r="AC369"/>
    </row>
    <row r="370" spans="2:29" s="4" customFormat="1" ht="27" customHeight="1">
      <c r="B370" s="938" t="str">
        <f>Languages!$C$191&amp;" 3"</f>
        <v>Commercial facilities 3</v>
      </c>
      <c r="C370" s="939"/>
      <c r="D370" s="787" t="str">
        <f>Languages!$N$176</f>
        <v>Information on main asset &amp; sub-assets</v>
      </c>
      <c r="E370" s="788" t="str">
        <f>Languages!$I$188</f>
        <v>Area and/or quantity assessed</v>
      </c>
      <c r="F370" s="789"/>
      <c r="G370" s="792" t="str">
        <f>Languages!$M$194</f>
        <v>Enter info on type and area / quantity of assets, type and extent of damage.</v>
      </c>
      <c r="H370" s="809"/>
      <c r="I370" s="796" t="s">
        <v>2118</v>
      </c>
      <c r="J370" s="798" t="str">
        <f>Languages!$K$177</f>
        <v>Approx. repair costs, priority 4 &amp; 5 assets, m. Euro</v>
      </c>
      <c r="K370" s="799"/>
      <c r="L370" s="389">
        <f>L374</f>
        <v>0.72499999999999998</v>
      </c>
      <c r="M370" s="259" t="s">
        <v>1966</v>
      </c>
      <c r="N370"/>
      <c r="O370"/>
      <c r="P370"/>
      <c r="Q370" s="2"/>
      <c r="R370"/>
      <c r="S370"/>
      <c r="V370"/>
      <c r="W370"/>
      <c r="X370"/>
      <c r="Y370"/>
      <c r="Z370"/>
      <c r="AA370"/>
      <c r="AB370"/>
      <c r="AC370"/>
    </row>
    <row r="371" spans="2:29" ht="27" customHeight="1">
      <c r="B371" s="940"/>
      <c r="C371" s="941"/>
      <c r="D371" s="768"/>
      <c r="E371" s="790"/>
      <c r="F371" s="791"/>
      <c r="G371" s="794"/>
      <c r="H371" s="810"/>
      <c r="I371" s="797"/>
      <c r="J371" s="852" t="str">
        <f>Languages!$K$176</f>
        <v>Approx. total repair costs, m. Euro</v>
      </c>
      <c r="K371" s="853"/>
      <c r="L371" s="264">
        <f>L374</f>
        <v>0.72499999999999998</v>
      </c>
      <c r="M371" s="260" t="s">
        <v>1966</v>
      </c>
      <c r="O371"/>
    </row>
    <row r="372" spans="2:29" ht="20" customHeight="1">
      <c r="B372" s="940"/>
      <c r="C372" s="941"/>
      <c r="D372" s="768"/>
      <c r="E372" s="802" t="s">
        <v>1546</v>
      </c>
      <c r="F372" s="769" t="str">
        <f>Languages!$N$178</f>
        <v>Unit type</v>
      </c>
      <c r="G372" s="769" t="s">
        <v>2122</v>
      </c>
      <c r="H372" s="769" t="s">
        <v>2132</v>
      </c>
      <c r="I372" s="331" t="s">
        <v>2117</v>
      </c>
      <c r="J372" s="771" t="str">
        <f>Languages!$K$178</f>
        <v>Actions</v>
      </c>
      <c r="K372" s="772"/>
      <c r="L372" s="945" t="str">
        <f>Languages!$M$176</f>
        <v>Est. repair cost</v>
      </c>
      <c r="M372" s="946"/>
      <c r="O372"/>
    </row>
    <row r="373" spans="2:29" ht="27" customHeight="1" thickBot="1">
      <c r="B373" s="940"/>
      <c r="C373" s="941"/>
      <c r="D373" s="768"/>
      <c r="E373" s="803"/>
      <c r="F373" s="770"/>
      <c r="G373" s="770"/>
      <c r="H373" s="770"/>
      <c r="I373" s="330" t="str">
        <f>Languages!$E$190</f>
        <v>Social Impact level</v>
      </c>
      <c r="J373" s="492" t="str">
        <f>Languages!$K$185</f>
        <v>Action required</v>
      </c>
      <c r="K373" s="504" t="str">
        <f>Languages!$G$193</f>
        <v>Priority 
1 - 5</v>
      </c>
      <c r="L373" s="493" t="str">
        <f>Languages!$M$177</f>
        <v>Total m. Euro</v>
      </c>
      <c r="M373" s="494" t="str">
        <f>Languages!$M$178&amp;" per m2"</f>
        <v>Est. Euro per m2</v>
      </c>
      <c r="O373"/>
    </row>
    <row r="374" spans="2:29" ht="24" customHeight="1">
      <c r="B374" s="917" t="str">
        <f>Languages!C$293&amp;", 12 floors"</f>
        <v>Hotel, 12 floors</v>
      </c>
      <c r="C374" s="918"/>
      <c r="D374" s="579" t="s">
        <v>2178</v>
      </c>
      <c r="E374" s="933">
        <v>1</v>
      </c>
      <c r="F374" s="934"/>
      <c r="G374" s="964" t="str">
        <f>G$13</f>
        <v>Whole Asset or Building</v>
      </c>
      <c r="H374" s="967" t="s">
        <v>2124</v>
      </c>
      <c r="I374" s="501" t="s">
        <v>2103</v>
      </c>
      <c r="J374" s="927" t="s">
        <v>2212</v>
      </c>
      <c r="K374" s="929">
        <f>SUM(K377:K386)/10</f>
        <v>3.8</v>
      </c>
      <c r="L374" s="947">
        <f>SUM(L377:L386)/1000000</f>
        <v>0.72499999999999998</v>
      </c>
      <c r="M374" s="962" t="str">
        <f>M$13</f>
        <v>million Euro</v>
      </c>
      <c r="Q374"/>
      <c r="R374"/>
      <c r="S374"/>
      <c r="T374"/>
      <c r="U374"/>
    </row>
    <row r="375" spans="2:29" ht="24" customHeight="1" thickBot="1">
      <c r="B375" s="919"/>
      <c r="C375" s="920"/>
      <c r="D375" s="550" t="s">
        <v>1555</v>
      </c>
      <c r="E375" s="944">
        <f>E374*E376</f>
        <v>12000</v>
      </c>
      <c r="F375" s="932"/>
      <c r="G375" s="965"/>
      <c r="H375" s="968"/>
      <c r="I375" s="538" t="s">
        <v>2115</v>
      </c>
      <c r="J375" s="928"/>
      <c r="K375" s="930"/>
      <c r="L375" s="948"/>
      <c r="M375" s="963"/>
      <c r="Q375"/>
      <c r="R375"/>
      <c r="S375"/>
      <c r="T375"/>
      <c r="U375"/>
    </row>
    <row r="376" spans="2:29" ht="25" hidden="1" customHeight="1" outlineLevel="1">
      <c r="B376" s="915"/>
      <c r="C376" s="916"/>
      <c r="D376" s="507" t="s">
        <v>1554</v>
      </c>
      <c r="E376" s="336">
        <v>12000</v>
      </c>
      <c r="F376" s="496" t="s">
        <v>1528</v>
      </c>
      <c r="G376" s="461" t="str">
        <f>G$15</f>
        <v>Components</v>
      </c>
      <c r="H376" s="330" t="s">
        <v>2250</v>
      </c>
      <c r="I376" s="497" t="s">
        <v>2141</v>
      </c>
      <c r="J376" s="351" t="str">
        <f>Languages!$K$185</f>
        <v>Action required</v>
      </c>
      <c r="K376" s="362"/>
      <c r="L376" s="498" t="s">
        <v>2144</v>
      </c>
      <c r="M376" s="384" t="s">
        <v>2143</v>
      </c>
      <c r="Q376"/>
      <c r="R376"/>
      <c r="S376"/>
      <c r="T376"/>
      <c r="U376"/>
    </row>
    <row r="377" spans="2:29" ht="25" hidden="1" customHeight="1" outlineLevel="1">
      <c r="B377" s="773"/>
      <c r="C377" s="774"/>
      <c r="D377" s="774"/>
      <c r="E377" s="774"/>
      <c r="F377" s="775"/>
      <c r="G377" s="238" t="s">
        <v>2034</v>
      </c>
      <c r="H377" s="333" t="s">
        <v>2124</v>
      </c>
      <c r="I377" s="1016"/>
      <c r="J377" s="308" t="s">
        <v>2113</v>
      </c>
      <c r="K377" s="310">
        <v>2</v>
      </c>
      <c r="L377" s="390">
        <f>E$376*M377</f>
        <v>60000</v>
      </c>
      <c r="M377" s="345">
        <v>5</v>
      </c>
      <c r="Q377"/>
      <c r="R377"/>
      <c r="S377"/>
      <c r="T377"/>
      <c r="U377"/>
    </row>
    <row r="378" spans="2:29" ht="25" hidden="1" customHeight="1" outlineLevel="1">
      <c r="B378" s="773"/>
      <c r="C378" s="774"/>
      <c r="D378" s="774"/>
      <c r="E378" s="774"/>
      <c r="F378" s="775"/>
      <c r="G378" s="238" t="s">
        <v>1983</v>
      </c>
      <c r="H378" s="333" t="s">
        <v>2124</v>
      </c>
      <c r="I378" s="1017"/>
      <c r="J378" s="308" t="s">
        <v>1473</v>
      </c>
      <c r="K378" s="310">
        <v>4</v>
      </c>
      <c r="L378" s="390">
        <f t="shared" ref="L378:L382" si="23">E$376*M378</f>
        <v>48000</v>
      </c>
      <c r="M378" s="345">
        <v>4</v>
      </c>
      <c r="Q378"/>
      <c r="R378"/>
      <c r="S378"/>
      <c r="T378"/>
      <c r="U378"/>
    </row>
    <row r="379" spans="2:29" ht="25" hidden="1" customHeight="1" outlineLevel="1">
      <c r="B379" s="773"/>
      <c r="C379" s="774"/>
      <c r="D379" s="774"/>
      <c r="E379" s="774"/>
      <c r="F379" s="775"/>
      <c r="G379" s="238" t="s">
        <v>1543</v>
      </c>
      <c r="H379" s="333" t="s">
        <v>2124</v>
      </c>
      <c r="I379" s="1017"/>
      <c r="J379" s="308" t="s">
        <v>1454</v>
      </c>
      <c r="K379" s="310">
        <v>4</v>
      </c>
      <c r="L379" s="390">
        <f t="shared" si="23"/>
        <v>132000</v>
      </c>
      <c r="M379" s="345">
        <v>11</v>
      </c>
      <c r="Q379"/>
      <c r="R379"/>
      <c r="S379"/>
      <c r="T379"/>
      <c r="U379"/>
    </row>
    <row r="380" spans="2:29" ht="25" hidden="1" customHeight="1" outlineLevel="1">
      <c r="B380" s="773"/>
      <c r="C380" s="774"/>
      <c r="D380" s="774"/>
      <c r="E380" s="774"/>
      <c r="F380" s="775"/>
      <c r="G380" s="238" t="s">
        <v>1540</v>
      </c>
      <c r="H380" s="333" t="s">
        <v>2124</v>
      </c>
      <c r="I380" s="1017"/>
      <c r="J380" s="308" t="s">
        <v>1449</v>
      </c>
      <c r="K380" s="310">
        <v>4</v>
      </c>
      <c r="L380" s="390">
        <f t="shared" si="23"/>
        <v>96000</v>
      </c>
      <c r="M380" s="345">
        <v>8</v>
      </c>
      <c r="Q380"/>
      <c r="R380"/>
      <c r="S380"/>
      <c r="T380"/>
      <c r="U380"/>
    </row>
    <row r="381" spans="2:29" ht="25" hidden="1" customHeight="1" outlineLevel="1">
      <c r="B381" s="773"/>
      <c r="C381" s="774"/>
      <c r="D381" s="774"/>
      <c r="E381" s="774"/>
      <c r="F381" s="775"/>
      <c r="G381" s="238" t="s">
        <v>2038</v>
      </c>
      <c r="H381" s="333" t="s">
        <v>2124</v>
      </c>
      <c r="I381" s="1017"/>
      <c r="J381" s="308" t="s">
        <v>1473</v>
      </c>
      <c r="K381" s="310">
        <v>4</v>
      </c>
      <c r="L381" s="390">
        <f t="shared" si="23"/>
        <v>60000</v>
      </c>
      <c r="M381" s="345">
        <v>5</v>
      </c>
      <c r="Q381"/>
      <c r="R381"/>
      <c r="S381"/>
      <c r="T381"/>
      <c r="U381"/>
    </row>
    <row r="382" spans="2:29" ht="25" hidden="1" customHeight="1" outlineLevel="1">
      <c r="B382" s="773"/>
      <c r="C382" s="774"/>
      <c r="D382" s="774"/>
      <c r="E382" s="774"/>
      <c r="F382" s="775"/>
      <c r="G382" s="238" t="s">
        <v>2154</v>
      </c>
      <c r="H382" s="333" t="s">
        <v>2124</v>
      </c>
      <c r="I382" s="1017"/>
      <c r="J382" s="308" t="s">
        <v>1446</v>
      </c>
      <c r="K382" s="310">
        <v>5</v>
      </c>
      <c r="L382" s="390">
        <f t="shared" si="23"/>
        <v>48000</v>
      </c>
      <c r="M382" s="345">
        <v>4</v>
      </c>
      <c r="Q382"/>
      <c r="R382"/>
      <c r="S382"/>
      <c r="T382"/>
      <c r="U382"/>
    </row>
    <row r="383" spans="2:29" ht="25" hidden="1" customHeight="1" outlineLevel="1">
      <c r="B383" s="978" t="s">
        <v>2191</v>
      </c>
      <c r="C383" s="979"/>
      <c r="D383" s="979"/>
      <c r="E383" s="979"/>
      <c r="F383" s="980"/>
      <c r="G383" s="238" t="s">
        <v>1946</v>
      </c>
      <c r="H383" s="195" t="s">
        <v>2125</v>
      </c>
      <c r="I383" s="1017"/>
      <c r="J383" s="413" t="s">
        <v>1448</v>
      </c>
      <c r="K383" s="427">
        <v>4</v>
      </c>
      <c r="L383" s="403">
        <v>8000</v>
      </c>
      <c r="M383" s="467"/>
      <c r="Q383"/>
      <c r="R383"/>
      <c r="S383"/>
      <c r="T383"/>
      <c r="U383"/>
    </row>
    <row r="384" spans="2:29" ht="25" hidden="1" customHeight="1" outlineLevel="1">
      <c r="B384" s="978" t="s">
        <v>2182</v>
      </c>
      <c r="C384" s="979"/>
      <c r="D384" s="979"/>
      <c r="E384" s="979"/>
      <c r="F384" s="980"/>
      <c r="G384" s="238" t="s">
        <v>1541</v>
      </c>
      <c r="H384" s="195" t="s">
        <v>2123</v>
      </c>
      <c r="I384" s="1017"/>
      <c r="J384" s="308" t="s">
        <v>1454</v>
      </c>
      <c r="K384" s="310">
        <v>5</v>
      </c>
      <c r="L384" s="403">
        <v>225000</v>
      </c>
      <c r="M384" s="432"/>
      <c r="Q384"/>
      <c r="R384"/>
      <c r="S384"/>
      <c r="T384"/>
      <c r="U384"/>
    </row>
    <row r="385" spans="2:29" ht="25" hidden="1" customHeight="1" outlineLevel="1">
      <c r="B385" s="773" t="s">
        <v>1990</v>
      </c>
      <c r="C385" s="774"/>
      <c r="D385" s="774"/>
      <c r="E385" s="774"/>
      <c r="F385" s="775"/>
      <c r="G385" s="153" t="s">
        <v>2189</v>
      </c>
      <c r="H385" s="333" t="s">
        <v>2123</v>
      </c>
      <c r="I385" s="1017"/>
      <c r="J385" s="195" t="s">
        <v>1446</v>
      </c>
      <c r="K385" s="310">
        <v>3</v>
      </c>
      <c r="L385" s="390">
        <f t="shared" ref="L385:L386" si="24">E$376*M385</f>
        <v>36000</v>
      </c>
      <c r="M385" s="468">
        <v>3</v>
      </c>
      <c r="Q385"/>
      <c r="R385"/>
      <c r="S385"/>
      <c r="T385"/>
      <c r="U385"/>
    </row>
    <row r="386" spans="2:29" ht="25" hidden="1" customHeight="1" outlineLevel="1" thickBot="1">
      <c r="B386" s="992" t="s">
        <v>1990</v>
      </c>
      <c r="C386" s="993"/>
      <c r="D386" s="993"/>
      <c r="E386" s="993"/>
      <c r="F386" s="994"/>
      <c r="G386" s="153" t="s">
        <v>2190</v>
      </c>
      <c r="H386" s="333"/>
      <c r="I386" s="1018"/>
      <c r="J386" s="195" t="s">
        <v>2113</v>
      </c>
      <c r="K386" s="255">
        <v>3</v>
      </c>
      <c r="L386" s="390">
        <f t="shared" si="24"/>
        <v>12000</v>
      </c>
      <c r="M386" s="335">
        <v>1</v>
      </c>
      <c r="Q386"/>
      <c r="R386"/>
      <c r="S386"/>
      <c r="T386"/>
      <c r="U386"/>
    </row>
    <row r="387" spans="2:29" ht="15" customHeight="1" collapsed="1" thickBot="1">
      <c r="B387" s="163" t="str">
        <f>$B$29</f>
        <v>International Initiative for Sustainable Built Environment</v>
      </c>
      <c r="C387" s="163"/>
      <c r="D387" s="163"/>
      <c r="E387" s="163"/>
      <c r="F387" s="163"/>
      <c r="G387" s="165"/>
      <c r="H387" s="12"/>
      <c r="I387" s="165"/>
      <c r="J387" s="12"/>
      <c r="K387" s="12"/>
      <c r="L387" s="12"/>
      <c r="M387" s="12"/>
    </row>
    <row r="388" spans="2:29" s="4" customFormat="1" ht="30" customHeight="1" thickBot="1">
      <c r="B388" s="765" t="str">
        <f>Settings!$B$9</f>
        <v>Damage Assessments for Sustainable Reconstruction in Ukraine</v>
      </c>
      <c r="C388" s="766"/>
      <c r="D388" s="766"/>
      <c r="E388" s="766"/>
      <c r="F388" s="766"/>
      <c r="G388" s="766"/>
      <c r="H388" s="966"/>
      <c r="I388" s="935" t="str">
        <f>I$2</f>
        <v>Irpin Urban Area</v>
      </c>
      <c r="J388" s="936"/>
      <c r="K388" s="937"/>
      <c r="L388" s="173" t="str">
        <f>L$2</f>
        <v>27Jan23</v>
      </c>
      <c r="M388" s="157">
        <v>19</v>
      </c>
      <c r="N388"/>
      <c r="O388"/>
      <c r="P388"/>
      <c r="Q388" s="2"/>
      <c r="S388" s="10"/>
      <c r="V388"/>
      <c r="W388"/>
      <c r="X388"/>
      <c r="Y388"/>
      <c r="Z388"/>
      <c r="AA388"/>
      <c r="AB388"/>
      <c r="AC388"/>
    </row>
    <row r="389" spans="2:29" s="4" customFormat="1" ht="27" customHeight="1">
      <c r="B389" s="938" t="str">
        <f>Languages!$C$191&amp;" 3"</f>
        <v>Commercial facilities 3</v>
      </c>
      <c r="C389" s="939"/>
      <c r="D389" s="787" t="str">
        <f>Languages!$N$176</f>
        <v>Information on main asset &amp; sub-assets</v>
      </c>
      <c r="E389" s="788" t="str">
        <f>Languages!$I$188</f>
        <v>Area and/or quantity assessed</v>
      </c>
      <c r="F389" s="789"/>
      <c r="G389" s="792" t="str">
        <f>Languages!$M$194</f>
        <v>Enter info on type and area / quantity of assets, type and extent of damage.</v>
      </c>
      <c r="H389" s="809"/>
      <c r="I389" s="796" t="s">
        <v>2118</v>
      </c>
      <c r="J389" s="798" t="str">
        <f>Languages!$K$177</f>
        <v>Approx. repair costs, priority 4 &amp; 5 assets, m. Euro</v>
      </c>
      <c r="K389" s="799"/>
      <c r="L389" s="389">
        <f>IF(K393&gt;3,L393)+IF(K401&gt;3,L401)</f>
        <v>1.8139999999999998</v>
      </c>
      <c r="M389" s="259" t="s">
        <v>1966</v>
      </c>
      <c r="N389"/>
      <c r="O389"/>
      <c r="P389"/>
      <c r="Q389" s="2"/>
      <c r="R389"/>
      <c r="S389"/>
      <c r="V389"/>
      <c r="W389"/>
      <c r="X389"/>
      <c r="Y389"/>
      <c r="Z389"/>
      <c r="AA389"/>
      <c r="AB389"/>
      <c r="AC389"/>
    </row>
    <row r="390" spans="2:29" ht="27" customHeight="1">
      <c r="B390" s="940"/>
      <c r="C390" s="941"/>
      <c r="D390" s="768"/>
      <c r="E390" s="790"/>
      <c r="F390" s="791"/>
      <c r="G390" s="794"/>
      <c r="H390" s="810"/>
      <c r="I390" s="797"/>
      <c r="J390" s="852" t="str">
        <f>Languages!$K$176</f>
        <v>Approx. total repair costs, m. Euro</v>
      </c>
      <c r="K390" s="853"/>
      <c r="L390" s="264">
        <f>(L393+L401)</f>
        <v>1.8139999999999998</v>
      </c>
      <c r="M390" s="260" t="s">
        <v>1966</v>
      </c>
      <c r="O390"/>
    </row>
    <row r="391" spans="2:29" ht="20" customHeight="1">
      <c r="B391" s="940"/>
      <c r="C391" s="941"/>
      <c r="D391" s="768"/>
      <c r="E391" s="802" t="s">
        <v>1546</v>
      </c>
      <c r="F391" s="769" t="str">
        <f>Languages!$N$178</f>
        <v>Unit type</v>
      </c>
      <c r="G391" s="769" t="s">
        <v>2122</v>
      </c>
      <c r="H391" s="769" t="s">
        <v>2132</v>
      </c>
      <c r="I391" s="331" t="s">
        <v>2117</v>
      </c>
      <c r="J391" s="771" t="str">
        <f>Languages!$K$178</f>
        <v>Actions</v>
      </c>
      <c r="K391" s="772"/>
      <c r="L391" s="945" t="str">
        <f>Languages!$M$176</f>
        <v>Est. repair cost</v>
      </c>
      <c r="M391" s="946"/>
      <c r="O391"/>
    </row>
    <row r="392" spans="2:29" ht="27" customHeight="1" thickBot="1">
      <c r="B392" s="940"/>
      <c r="C392" s="941"/>
      <c r="D392" s="768"/>
      <c r="E392" s="803"/>
      <c r="F392" s="770"/>
      <c r="G392" s="770"/>
      <c r="H392" s="770"/>
      <c r="I392" s="330" t="str">
        <f>Languages!$E$190</f>
        <v>Social Impact level</v>
      </c>
      <c r="J392" s="492" t="str">
        <f>Languages!$K$185</f>
        <v>Action required</v>
      </c>
      <c r="K392" s="504" t="str">
        <f>Languages!$G$193</f>
        <v>Priority 
1 - 5</v>
      </c>
      <c r="L392" s="493" t="str">
        <f>Languages!$M$177</f>
        <v>Total m. Euro</v>
      </c>
      <c r="M392" s="494" t="str">
        <f>Languages!$M$178&amp;" per m2"</f>
        <v>Est. Euro per m2</v>
      </c>
      <c r="O392"/>
    </row>
    <row r="393" spans="2:29" ht="24" customHeight="1">
      <c r="B393" s="917" t="str">
        <f>Languages!C$294</f>
        <v>Regional shopping centre</v>
      </c>
      <c r="C393" s="918"/>
      <c r="D393" s="579" t="s">
        <v>2178</v>
      </c>
      <c r="E393" s="933">
        <v>1</v>
      </c>
      <c r="F393" s="934"/>
      <c r="G393" s="964" t="str">
        <f>G$13</f>
        <v>Whole Asset or Building</v>
      </c>
      <c r="H393" s="967" t="s">
        <v>2124</v>
      </c>
      <c r="I393" s="501" t="s">
        <v>2103</v>
      </c>
      <c r="J393" s="927" t="s">
        <v>2212</v>
      </c>
      <c r="K393" s="929">
        <f>SUM(K396:K400)/5</f>
        <v>3.4</v>
      </c>
      <c r="L393" s="947">
        <f>SUM(L396:L400)/1000000</f>
        <v>1.6279999999999999</v>
      </c>
      <c r="M393" s="962" t="str">
        <f>M$13</f>
        <v>million Euro</v>
      </c>
      <c r="Q393"/>
      <c r="R393"/>
      <c r="S393"/>
      <c r="T393"/>
      <c r="U393"/>
    </row>
    <row r="394" spans="2:29" ht="24" customHeight="1" thickBot="1">
      <c r="B394" s="919"/>
      <c r="C394" s="920"/>
      <c r="D394" s="550" t="s">
        <v>1555</v>
      </c>
      <c r="E394" s="944">
        <f>E393*E395</f>
        <v>18000</v>
      </c>
      <c r="F394" s="932"/>
      <c r="G394" s="965"/>
      <c r="H394" s="968"/>
      <c r="I394" s="538" t="s">
        <v>2115</v>
      </c>
      <c r="J394" s="928"/>
      <c r="K394" s="930"/>
      <c r="L394" s="948"/>
      <c r="M394" s="963"/>
      <c r="Q394"/>
      <c r="R394"/>
      <c r="S394"/>
      <c r="T394"/>
      <c r="U394"/>
    </row>
    <row r="395" spans="2:29" ht="25" hidden="1" customHeight="1" outlineLevel="1">
      <c r="B395" s="915"/>
      <c r="C395" s="916"/>
      <c r="D395" s="507" t="s">
        <v>1554</v>
      </c>
      <c r="E395" s="336">
        <v>18000</v>
      </c>
      <c r="F395" s="496" t="s">
        <v>1528</v>
      </c>
      <c r="G395" s="461" t="str">
        <f>G$15</f>
        <v>Components</v>
      </c>
      <c r="H395" s="330" t="s">
        <v>2250</v>
      </c>
      <c r="I395" s="497" t="s">
        <v>2141</v>
      </c>
      <c r="J395" s="351" t="str">
        <f>Languages!$K$185</f>
        <v>Action required</v>
      </c>
      <c r="K395" s="362"/>
      <c r="L395" s="498" t="s">
        <v>2144</v>
      </c>
      <c r="M395" s="384" t="s">
        <v>2143</v>
      </c>
      <c r="Q395"/>
      <c r="R395"/>
      <c r="S395"/>
      <c r="T395"/>
      <c r="U395"/>
    </row>
    <row r="396" spans="2:29" ht="25" hidden="1" customHeight="1" outlineLevel="1">
      <c r="B396" s="1011"/>
      <c r="C396" s="1012"/>
      <c r="D396" s="1013"/>
      <c r="E396" s="1013"/>
      <c r="F396" s="1014"/>
      <c r="G396" s="238" t="s">
        <v>2034</v>
      </c>
      <c r="H396" s="333" t="s">
        <v>2124</v>
      </c>
      <c r="I396" s="424"/>
      <c r="J396" s="308" t="s">
        <v>2113</v>
      </c>
      <c r="K396" s="310">
        <v>1</v>
      </c>
      <c r="L396" s="390">
        <f>E$395*M396</f>
        <v>90000</v>
      </c>
      <c r="M396" s="345">
        <v>5</v>
      </c>
      <c r="Q396"/>
      <c r="R396"/>
      <c r="S396"/>
      <c r="T396"/>
      <c r="U396"/>
    </row>
    <row r="397" spans="2:29" ht="25" hidden="1" customHeight="1" outlineLevel="1">
      <c r="B397" s="1011"/>
      <c r="C397" s="1012"/>
      <c r="D397" s="1012"/>
      <c r="E397" s="1012"/>
      <c r="F397" s="1015"/>
      <c r="G397" s="238" t="s">
        <v>1983</v>
      </c>
      <c r="H397" s="333" t="s">
        <v>2124</v>
      </c>
      <c r="I397" s="425"/>
      <c r="J397" s="308" t="s">
        <v>1473</v>
      </c>
      <c r="K397" s="310">
        <v>4</v>
      </c>
      <c r="L397" s="390">
        <f t="shared" ref="L397" si="25">E$395*M397</f>
        <v>270000</v>
      </c>
      <c r="M397" s="345">
        <v>15</v>
      </c>
      <c r="Q397"/>
      <c r="R397"/>
      <c r="S397"/>
      <c r="T397"/>
      <c r="U397"/>
    </row>
    <row r="398" spans="2:29" ht="25" hidden="1" customHeight="1" outlineLevel="1">
      <c r="B398" s="1011"/>
      <c r="C398" s="1012"/>
      <c r="D398" s="1012"/>
      <c r="E398" s="1012"/>
      <c r="F398" s="1015"/>
      <c r="G398" s="238" t="s">
        <v>1543</v>
      </c>
      <c r="H398" s="333" t="s">
        <v>2124</v>
      </c>
      <c r="I398" s="425"/>
      <c r="J398" s="308" t="s">
        <v>1454</v>
      </c>
      <c r="K398" s="310">
        <v>4</v>
      </c>
      <c r="L398" s="390">
        <f t="shared" ref="L398:L399" si="26">E$395*M398</f>
        <v>450000</v>
      </c>
      <c r="M398" s="345">
        <v>25</v>
      </c>
      <c r="Q398"/>
      <c r="R398"/>
      <c r="S398"/>
      <c r="T398"/>
      <c r="U398"/>
    </row>
    <row r="399" spans="2:29" ht="25" hidden="1" customHeight="1" outlineLevel="1">
      <c r="B399" s="1011"/>
      <c r="C399" s="1012"/>
      <c r="D399" s="1012"/>
      <c r="E399" s="1012"/>
      <c r="F399" s="1015"/>
      <c r="G399" s="238" t="s">
        <v>1540</v>
      </c>
      <c r="H399" s="333" t="s">
        <v>2124</v>
      </c>
      <c r="I399" s="425"/>
      <c r="J399" s="308" t="s">
        <v>1449</v>
      </c>
      <c r="K399" s="310">
        <v>4</v>
      </c>
      <c r="L399" s="390">
        <f t="shared" si="26"/>
        <v>810000</v>
      </c>
      <c r="M399" s="345">
        <v>45</v>
      </c>
      <c r="Q399"/>
      <c r="R399"/>
      <c r="S399"/>
      <c r="T399"/>
      <c r="U399"/>
    </row>
    <row r="400" spans="2:29" ht="25" hidden="1" customHeight="1" outlineLevel="1" thickBot="1">
      <c r="B400" s="953" t="s">
        <v>2191</v>
      </c>
      <c r="C400" s="954"/>
      <c r="D400" s="954"/>
      <c r="E400" s="954"/>
      <c r="F400" s="955"/>
      <c r="G400" s="458" t="s">
        <v>1946</v>
      </c>
      <c r="H400" s="385" t="s">
        <v>2125</v>
      </c>
      <c r="I400" s="425"/>
      <c r="J400" s="511" t="s">
        <v>1448</v>
      </c>
      <c r="K400" s="516">
        <v>4</v>
      </c>
      <c r="L400" s="514">
        <v>8000</v>
      </c>
      <c r="M400" s="515"/>
      <c r="Q400"/>
      <c r="R400"/>
      <c r="S400"/>
      <c r="T400"/>
      <c r="U400"/>
    </row>
    <row r="401" spans="2:29" ht="24" customHeight="1" collapsed="1">
      <c r="B401" s="917" t="str">
        <f>Languages!C$295</f>
        <v>Local shopping centre</v>
      </c>
      <c r="C401" s="918"/>
      <c r="D401" s="579" t="s">
        <v>2178</v>
      </c>
      <c r="E401" s="933">
        <v>1</v>
      </c>
      <c r="F401" s="934"/>
      <c r="G401" s="964" t="str">
        <f>G$13</f>
        <v>Whole Asset or Building</v>
      </c>
      <c r="H401" s="967" t="s">
        <v>2124</v>
      </c>
      <c r="I401" s="501" t="s">
        <v>2103</v>
      </c>
      <c r="J401" s="927" t="s">
        <v>2212</v>
      </c>
      <c r="K401" s="929">
        <f>SUM(K404:K406)/3</f>
        <v>3.3333333333333335</v>
      </c>
      <c r="L401" s="947">
        <f>SUM(L404:L406)/1000000</f>
        <v>0.186</v>
      </c>
      <c r="M401" s="962" t="str">
        <f>M$13</f>
        <v>million Euro</v>
      </c>
      <c r="Q401"/>
      <c r="R401"/>
      <c r="S401"/>
      <c r="T401"/>
      <c r="U401"/>
    </row>
    <row r="402" spans="2:29" ht="24" customHeight="1" thickBot="1">
      <c r="B402" s="919"/>
      <c r="C402" s="920"/>
      <c r="D402" s="550" t="s">
        <v>1555</v>
      </c>
      <c r="E402" s="944">
        <f>E401*E403</f>
        <v>3000</v>
      </c>
      <c r="F402" s="932"/>
      <c r="G402" s="965"/>
      <c r="H402" s="968"/>
      <c r="I402" s="538" t="s">
        <v>2115</v>
      </c>
      <c r="J402" s="928"/>
      <c r="K402" s="930"/>
      <c r="L402" s="948"/>
      <c r="M402" s="963"/>
      <c r="Q402"/>
      <c r="R402"/>
      <c r="S402"/>
      <c r="T402"/>
      <c r="U402"/>
    </row>
    <row r="403" spans="2:29" ht="25" hidden="1" customHeight="1" outlineLevel="1">
      <c r="B403" s="915"/>
      <c r="C403" s="916"/>
      <c r="D403" s="507" t="s">
        <v>1554</v>
      </c>
      <c r="E403" s="337">
        <v>3000</v>
      </c>
      <c r="F403" s="171" t="s">
        <v>1528</v>
      </c>
      <c r="G403" s="461" t="str">
        <f>G$15</f>
        <v>Components</v>
      </c>
      <c r="H403" s="330" t="s">
        <v>2250</v>
      </c>
      <c r="I403" s="497" t="s">
        <v>2141</v>
      </c>
      <c r="J403" s="351" t="str">
        <f>Languages!$K$185</f>
        <v>Action required</v>
      </c>
      <c r="K403" s="362"/>
      <c r="L403" s="498" t="s">
        <v>2144</v>
      </c>
      <c r="M403" s="384" t="s">
        <v>2143</v>
      </c>
      <c r="Q403"/>
      <c r="R403"/>
      <c r="S403"/>
      <c r="T403"/>
      <c r="U403"/>
    </row>
    <row r="404" spans="2:29" ht="25" hidden="1" customHeight="1" outlineLevel="1">
      <c r="B404" s="781"/>
      <c r="C404" s="782"/>
      <c r="D404" s="779"/>
      <c r="E404" s="779"/>
      <c r="F404" s="780"/>
      <c r="G404" s="238" t="s">
        <v>1983</v>
      </c>
      <c r="H404" s="333" t="s">
        <v>2124</v>
      </c>
      <c r="I404" s="736"/>
      <c r="J404" s="195" t="s">
        <v>1449</v>
      </c>
      <c r="K404" s="167">
        <v>2</v>
      </c>
      <c r="L404" s="390">
        <f>E$403*M404</f>
        <v>36000</v>
      </c>
      <c r="M404" s="345">
        <v>12</v>
      </c>
      <c r="Q404"/>
      <c r="R404"/>
      <c r="S404"/>
      <c r="T404"/>
      <c r="U404"/>
    </row>
    <row r="405" spans="2:29" ht="25" hidden="1" customHeight="1" outlineLevel="1">
      <c r="B405" s="781"/>
      <c r="C405" s="782"/>
      <c r="D405" s="782"/>
      <c r="E405" s="782"/>
      <c r="F405" s="783"/>
      <c r="G405" s="238" t="s">
        <v>1543</v>
      </c>
      <c r="H405" s="333" t="s">
        <v>2124</v>
      </c>
      <c r="I405" s="737"/>
      <c r="J405" s="195" t="s">
        <v>1454</v>
      </c>
      <c r="K405" s="310">
        <v>4</v>
      </c>
      <c r="L405" s="390">
        <f>E$403*M405</f>
        <v>60000</v>
      </c>
      <c r="M405" s="345">
        <v>20</v>
      </c>
      <c r="Q405"/>
      <c r="R405"/>
      <c r="S405"/>
      <c r="T405"/>
      <c r="U405"/>
    </row>
    <row r="406" spans="2:29" ht="25" hidden="1" customHeight="1" outlineLevel="1" thickBot="1">
      <c r="B406" s="824"/>
      <c r="C406" s="825"/>
      <c r="D406" s="825"/>
      <c r="E406" s="825"/>
      <c r="F406" s="826"/>
      <c r="G406" s="238" t="s">
        <v>1540</v>
      </c>
      <c r="H406" s="333" t="s">
        <v>2124</v>
      </c>
      <c r="I406" s="975"/>
      <c r="J406" s="195" t="s">
        <v>1449</v>
      </c>
      <c r="K406" s="255">
        <v>4</v>
      </c>
      <c r="L406" s="390">
        <f>E$403*M406</f>
        <v>90000</v>
      </c>
      <c r="M406" s="345">
        <v>30</v>
      </c>
      <c r="Q406"/>
      <c r="R406"/>
      <c r="S406"/>
      <c r="T406"/>
      <c r="U406"/>
    </row>
    <row r="407" spans="2:29" ht="15" customHeight="1" collapsed="1" thickBot="1">
      <c r="B407" s="163" t="str">
        <f>$B$29</f>
        <v>International Initiative for Sustainable Built Environment</v>
      </c>
      <c r="C407" s="163"/>
      <c r="D407" s="163"/>
      <c r="E407" s="163"/>
      <c r="F407" s="163"/>
      <c r="G407" s="165"/>
      <c r="H407" s="12"/>
      <c r="I407" s="165"/>
      <c r="J407" s="12"/>
      <c r="K407" s="12"/>
      <c r="L407" s="12"/>
      <c r="M407" s="12"/>
    </row>
    <row r="408" spans="2:29" s="4" customFormat="1" ht="30" customHeight="1" thickBot="1">
      <c r="B408" s="765" t="str">
        <f>Settings!$B$9</f>
        <v>Damage Assessments for Sustainable Reconstruction in Ukraine</v>
      </c>
      <c r="C408" s="766"/>
      <c r="D408" s="766"/>
      <c r="E408" s="766"/>
      <c r="F408" s="766"/>
      <c r="G408" s="766"/>
      <c r="H408" s="966"/>
      <c r="I408" s="935" t="str">
        <f>I$2</f>
        <v>Irpin Urban Area</v>
      </c>
      <c r="J408" s="936"/>
      <c r="K408" s="340"/>
      <c r="L408" s="173" t="str">
        <f>L$2</f>
        <v>27Jan23</v>
      </c>
      <c r="M408" s="157">
        <v>20</v>
      </c>
      <c r="N408"/>
      <c r="O408"/>
      <c r="P408"/>
      <c r="Q408" s="2"/>
      <c r="S408" s="10"/>
      <c r="V408"/>
      <c r="W408"/>
      <c r="X408"/>
      <c r="Y408"/>
      <c r="Z408"/>
      <c r="AA408"/>
      <c r="AB408"/>
      <c r="AC408"/>
    </row>
    <row r="409" spans="2:29" s="4" customFormat="1" ht="27" customHeight="1">
      <c r="B409" s="938" t="str">
        <f>Languages!$C$191&amp;" 4"</f>
        <v>Commercial facilities 4</v>
      </c>
      <c r="C409" s="939"/>
      <c r="D409" s="787" t="str">
        <f>Languages!$N$176</f>
        <v>Information on main asset &amp; sub-assets</v>
      </c>
      <c r="E409" s="788" t="str">
        <f>Languages!$I$188</f>
        <v>Area and/or quantity assessed</v>
      </c>
      <c r="F409" s="789"/>
      <c r="G409" s="792" t="str">
        <f>Languages!$M$194</f>
        <v>Enter info on type and area / quantity of assets, type and extent of damage.</v>
      </c>
      <c r="H409" s="809"/>
      <c r="I409" s="796" t="s">
        <v>2118</v>
      </c>
      <c r="J409" s="798" t="str">
        <f>Languages!$K$177</f>
        <v>Approx. repair costs, priority 4 &amp; 5 assets, m. Euro</v>
      </c>
      <c r="K409" s="799"/>
      <c r="L409" s="389">
        <f>IF(K413&gt;3,L413)+IF(K420&gt;3,L420)</f>
        <v>5.2499999999999998E-2</v>
      </c>
      <c r="M409" s="259" t="s">
        <v>1966</v>
      </c>
      <c r="N409"/>
      <c r="O409"/>
      <c r="P409"/>
      <c r="Q409" s="2"/>
      <c r="R409"/>
      <c r="S409"/>
      <c r="V409"/>
      <c r="W409"/>
      <c r="X409"/>
      <c r="Y409"/>
      <c r="Z409"/>
      <c r="AA409"/>
      <c r="AB409"/>
      <c r="AC409"/>
    </row>
    <row r="410" spans="2:29" ht="27" customHeight="1">
      <c r="B410" s="940"/>
      <c r="C410" s="941"/>
      <c r="D410" s="768"/>
      <c r="E410" s="790"/>
      <c r="F410" s="791"/>
      <c r="G410" s="794"/>
      <c r="H410" s="810"/>
      <c r="I410" s="797"/>
      <c r="J410" s="852" t="str">
        <f>Languages!$K$176</f>
        <v>Approx. total repair costs, m. Euro</v>
      </c>
      <c r="K410" s="853"/>
      <c r="L410" s="264">
        <f>(L413+L420)</f>
        <v>6.9139999999999993E-2</v>
      </c>
      <c r="M410" s="260" t="s">
        <v>1966</v>
      </c>
      <c r="O410"/>
    </row>
    <row r="411" spans="2:29" ht="20" customHeight="1">
      <c r="B411" s="940"/>
      <c r="C411" s="941"/>
      <c r="D411" s="768"/>
      <c r="E411" s="802" t="s">
        <v>1546</v>
      </c>
      <c r="F411" s="769" t="str">
        <f>Languages!$N$178</f>
        <v>Unit type</v>
      </c>
      <c r="G411" s="769" t="s">
        <v>2122</v>
      </c>
      <c r="H411" s="769" t="s">
        <v>2132</v>
      </c>
      <c r="I411" s="331" t="s">
        <v>2117</v>
      </c>
      <c r="J411" s="771" t="str">
        <f>Languages!$K$178</f>
        <v>Actions</v>
      </c>
      <c r="K411" s="772"/>
      <c r="L411" s="945" t="str">
        <f>Languages!$M$176</f>
        <v>Est. repair cost</v>
      </c>
      <c r="M411" s="946"/>
      <c r="O411"/>
    </row>
    <row r="412" spans="2:29" ht="28" customHeight="1" thickBot="1">
      <c r="B412" s="940"/>
      <c r="C412" s="941"/>
      <c r="D412" s="768"/>
      <c r="E412" s="803"/>
      <c r="F412" s="770"/>
      <c r="G412" s="770"/>
      <c r="H412" s="770"/>
      <c r="I412" s="330" t="str">
        <f>Languages!$E$190</f>
        <v>Social Impact level</v>
      </c>
      <c r="J412" s="492" t="str">
        <f>Languages!$K$185</f>
        <v>Action required</v>
      </c>
      <c r="K412" s="504" t="str">
        <f>Languages!$G$193</f>
        <v>Priority 
1 - 5</v>
      </c>
      <c r="L412" s="493" t="str">
        <f>Languages!$M$177</f>
        <v>Total m. Euro</v>
      </c>
      <c r="M412" s="494" t="str">
        <f>Languages!$M$178&amp;" per m2"</f>
        <v>Est. Euro per m2</v>
      </c>
      <c r="O412"/>
    </row>
    <row r="413" spans="2:29" ht="24" customHeight="1">
      <c r="B413" s="917" t="str">
        <f>Languages!C$296</f>
        <v>Convenience shop</v>
      </c>
      <c r="C413" s="918"/>
      <c r="D413" s="579" t="s">
        <v>2178</v>
      </c>
      <c r="E413" s="933">
        <v>300</v>
      </c>
      <c r="F413" s="934"/>
      <c r="G413" s="964" t="str">
        <f>G$13</f>
        <v>Whole Asset or Building</v>
      </c>
      <c r="H413" s="967" t="s">
        <v>2124</v>
      </c>
      <c r="I413" s="501" t="s">
        <v>2103</v>
      </c>
      <c r="J413" s="927" t="s">
        <v>2212</v>
      </c>
      <c r="K413" s="929">
        <f>SUM(K416:K419)/4</f>
        <v>3</v>
      </c>
      <c r="L413" s="947">
        <f>SUM(L416:L419)/1000000</f>
        <v>1.6639999999999999E-2</v>
      </c>
      <c r="M413" s="962" t="str">
        <f>M$13</f>
        <v>million Euro</v>
      </c>
      <c r="Q413"/>
      <c r="R413"/>
      <c r="S413"/>
      <c r="T413"/>
      <c r="U413"/>
    </row>
    <row r="414" spans="2:29" ht="24" customHeight="1" thickBot="1">
      <c r="B414" s="919"/>
      <c r="C414" s="920"/>
      <c r="D414" s="550" t="s">
        <v>1555</v>
      </c>
      <c r="E414" s="944">
        <f>E413*E415</f>
        <v>78000</v>
      </c>
      <c r="F414" s="932"/>
      <c r="G414" s="965"/>
      <c r="H414" s="968"/>
      <c r="I414" s="538" t="s">
        <v>2115</v>
      </c>
      <c r="J414" s="928"/>
      <c r="K414" s="930"/>
      <c r="L414" s="948"/>
      <c r="M414" s="963"/>
      <c r="Q414"/>
      <c r="R414"/>
      <c r="S414"/>
      <c r="T414"/>
      <c r="U414"/>
    </row>
    <row r="415" spans="2:29" ht="25" hidden="1" customHeight="1" outlineLevel="1">
      <c r="B415" s="915"/>
      <c r="C415" s="916"/>
      <c r="D415" s="507" t="s">
        <v>1554</v>
      </c>
      <c r="E415" s="337">
        <v>260</v>
      </c>
      <c r="F415" s="171" t="s">
        <v>1528</v>
      </c>
      <c r="G415" s="461" t="str">
        <f>G$15</f>
        <v>Components</v>
      </c>
      <c r="H415" s="330" t="s">
        <v>2250</v>
      </c>
      <c r="I415" s="497" t="s">
        <v>2141</v>
      </c>
      <c r="J415" s="351" t="str">
        <f>Languages!$K$185</f>
        <v>Action required</v>
      </c>
      <c r="K415" s="362"/>
      <c r="L415" s="498" t="s">
        <v>2144</v>
      </c>
      <c r="M415" s="384" t="s">
        <v>2143</v>
      </c>
      <c r="Q415"/>
      <c r="R415"/>
      <c r="S415"/>
      <c r="T415"/>
      <c r="U415"/>
    </row>
    <row r="416" spans="2:29" ht="25" hidden="1" customHeight="1" outlineLevel="1">
      <c r="B416" s="781"/>
      <c r="C416" s="782"/>
      <c r="D416" s="779"/>
      <c r="E416" s="779"/>
      <c r="F416" s="780"/>
      <c r="G416" s="238" t="s">
        <v>1983</v>
      </c>
      <c r="H416" s="333" t="s">
        <v>2124</v>
      </c>
      <c r="I416" s="736"/>
      <c r="J416" s="308" t="s">
        <v>1473</v>
      </c>
      <c r="K416" s="310">
        <v>2</v>
      </c>
      <c r="L416" s="390">
        <f>E$415*M416</f>
        <v>5200</v>
      </c>
      <c r="M416" s="345">
        <v>20</v>
      </c>
      <c r="Q416"/>
      <c r="R416"/>
      <c r="S416"/>
      <c r="T416"/>
      <c r="U416"/>
    </row>
    <row r="417" spans="2:29" ht="25" hidden="1" customHeight="1" outlineLevel="1">
      <c r="B417" s="781"/>
      <c r="C417" s="782"/>
      <c r="D417" s="782"/>
      <c r="E417" s="782"/>
      <c r="F417" s="783"/>
      <c r="G417" s="238" t="s">
        <v>1543</v>
      </c>
      <c r="H417" s="333" t="s">
        <v>2124</v>
      </c>
      <c r="I417" s="737"/>
      <c r="J417" s="308" t="s">
        <v>2113</v>
      </c>
      <c r="K417" s="310">
        <v>4</v>
      </c>
      <c r="L417" s="390">
        <f t="shared" ref="L417:L419" si="27">E$415*M417</f>
        <v>10400</v>
      </c>
      <c r="M417" s="345">
        <v>40</v>
      </c>
      <c r="Q417"/>
      <c r="R417"/>
      <c r="S417"/>
      <c r="T417"/>
      <c r="U417"/>
    </row>
    <row r="418" spans="2:29" ht="25" hidden="1" customHeight="1" outlineLevel="1">
      <c r="B418" s="781"/>
      <c r="C418" s="782"/>
      <c r="D418" s="782"/>
      <c r="E418" s="782"/>
      <c r="F418" s="783"/>
      <c r="G418" s="153" t="s">
        <v>2187</v>
      </c>
      <c r="H418" s="333" t="s">
        <v>2123</v>
      </c>
      <c r="I418" s="737"/>
      <c r="J418" s="195" t="s">
        <v>1473</v>
      </c>
      <c r="K418" s="328">
        <v>3</v>
      </c>
      <c r="L418" s="390">
        <f t="shared" si="27"/>
        <v>260</v>
      </c>
      <c r="M418" s="335">
        <v>1</v>
      </c>
      <c r="Q418"/>
      <c r="R418"/>
      <c r="S418"/>
      <c r="T418"/>
      <c r="U418"/>
    </row>
    <row r="419" spans="2:29" ht="25" hidden="1" customHeight="1" outlineLevel="1" thickBot="1">
      <c r="B419" s="781"/>
      <c r="C419" s="782"/>
      <c r="D419" s="782"/>
      <c r="E419" s="782"/>
      <c r="F419" s="783"/>
      <c r="G419" s="153" t="s">
        <v>2225</v>
      </c>
      <c r="H419" s="513" t="s">
        <v>2124</v>
      </c>
      <c r="I419" s="737"/>
      <c r="J419" s="385" t="s">
        <v>1449</v>
      </c>
      <c r="K419" s="512">
        <v>3</v>
      </c>
      <c r="L419" s="502">
        <f t="shared" si="27"/>
        <v>780</v>
      </c>
      <c r="M419" s="401">
        <v>3</v>
      </c>
      <c r="Q419"/>
      <c r="R419"/>
      <c r="S419"/>
      <c r="T419"/>
      <c r="U419"/>
    </row>
    <row r="420" spans="2:29" ht="24" customHeight="1" collapsed="1">
      <c r="B420" s="917" t="str">
        <f>Languages!C$297</f>
        <v>Retail goods shop</v>
      </c>
      <c r="C420" s="918"/>
      <c r="D420" s="579" t="s">
        <v>2178</v>
      </c>
      <c r="E420" s="933">
        <v>200</v>
      </c>
      <c r="F420" s="934"/>
      <c r="G420" s="964" t="str">
        <f>G$13</f>
        <v>Whole Asset or Building</v>
      </c>
      <c r="H420" s="967" t="s">
        <v>2124</v>
      </c>
      <c r="I420" s="501" t="s">
        <v>2103</v>
      </c>
      <c r="J420" s="927" t="s">
        <v>2212</v>
      </c>
      <c r="K420" s="929">
        <f>SUM(K423:K427)/5</f>
        <v>3.6</v>
      </c>
      <c r="L420" s="947">
        <f>SUM(L423:L427)/1000000</f>
        <v>5.2499999999999998E-2</v>
      </c>
      <c r="M420" s="962" t="str">
        <f>M$13</f>
        <v>million Euro</v>
      </c>
      <c r="Q420"/>
      <c r="R420"/>
      <c r="S420"/>
      <c r="T420"/>
      <c r="U420"/>
    </row>
    <row r="421" spans="2:29" ht="24" customHeight="1" thickBot="1">
      <c r="B421" s="919"/>
      <c r="C421" s="920"/>
      <c r="D421" s="550" t="s">
        <v>1555</v>
      </c>
      <c r="E421" s="944">
        <f>E420*E422</f>
        <v>100000</v>
      </c>
      <c r="F421" s="932"/>
      <c r="G421" s="965"/>
      <c r="H421" s="968"/>
      <c r="I421" s="538" t="s">
        <v>2115</v>
      </c>
      <c r="J421" s="928"/>
      <c r="K421" s="930"/>
      <c r="L421" s="948"/>
      <c r="M421" s="963"/>
      <c r="Q421"/>
      <c r="R421"/>
      <c r="S421"/>
      <c r="T421"/>
      <c r="U421"/>
    </row>
    <row r="422" spans="2:29" ht="25" hidden="1" customHeight="1" outlineLevel="1">
      <c r="B422" s="915"/>
      <c r="C422" s="916"/>
      <c r="D422" s="507" t="s">
        <v>1554</v>
      </c>
      <c r="E422" s="337">
        <v>500</v>
      </c>
      <c r="F422" s="171" t="s">
        <v>1528</v>
      </c>
      <c r="G422" s="461" t="str">
        <f>G$15</f>
        <v>Components</v>
      </c>
      <c r="H422" s="330" t="s">
        <v>2250</v>
      </c>
      <c r="I422" s="497" t="s">
        <v>2141</v>
      </c>
      <c r="J422" s="351" t="str">
        <f>Languages!$K$185</f>
        <v>Action required</v>
      </c>
      <c r="K422" s="362"/>
      <c r="L422" s="498" t="s">
        <v>2144</v>
      </c>
      <c r="M422" s="384" t="s">
        <v>2143</v>
      </c>
      <c r="Q422"/>
      <c r="R422"/>
      <c r="S422"/>
      <c r="T422"/>
      <c r="U422"/>
    </row>
    <row r="423" spans="2:29" ht="25" hidden="1" customHeight="1" outlineLevel="1">
      <c r="B423" s="781"/>
      <c r="C423" s="782"/>
      <c r="D423" s="779"/>
      <c r="E423" s="779"/>
      <c r="F423" s="780"/>
      <c r="G423" s="238" t="s">
        <v>1983</v>
      </c>
      <c r="H423" s="333" t="s">
        <v>2124</v>
      </c>
      <c r="I423" s="736"/>
      <c r="J423" s="308" t="s">
        <v>1449</v>
      </c>
      <c r="K423" s="310">
        <v>4</v>
      </c>
      <c r="L423" s="390">
        <f>E$422*M423</f>
        <v>10000</v>
      </c>
      <c r="M423" s="345">
        <v>20</v>
      </c>
      <c r="Q423"/>
      <c r="R423"/>
      <c r="S423"/>
      <c r="T423"/>
      <c r="U423"/>
    </row>
    <row r="424" spans="2:29" ht="25" hidden="1" customHeight="1" outlineLevel="1">
      <c r="B424" s="781"/>
      <c r="C424" s="782"/>
      <c r="D424" s="782"/>
      <c r="E424" s="782"/>
      <c r="F424" s="783"/>
      <c r="G424" s="238" t="s">
        <v>1543</v>
      </c>
      <c r="H424" s="333" t="s">
        <v>2124</v>
      </c>
      <c r="I424" s="737"/>
      <c r="J424" s="308" t="s">
        <v>1449</v>
      </c>
      <c r="K424" s="310">
        <v>4</v>
      </c>
      <c r="L424" s="390">
        <f t="shared" ref="L424:L427" si="28">E$422*M424</f>
        <v>18000</v>
      </c>
      <c r="M424" s="345">
        <v>36</v>
      </c>
      <c r="Q424"/>
      <c r="R424"/>
      <c r="S424"/>
      <c r="T424"/>
      <c r="U424"/>
    </row>
    <row r="425" spans="2:29" ht="25" hidden="1" customHeight="1" outlineLevel="1">
      <c r="B425" s="781"/>
      <c r="C425" s="782"/>
      <c r="D425" s="782"/>
      <c r="E425" s="782"/>
      <c r="F425" s="783"/>
      <c r="G425" s="238" t="s">
        <v>1540</v>
      </c>
      <c r="H425" s="333" t="s">
        <v>2124</v>
      </c>
      <c r="I425" s="737"/>
      <c r="J425" s="195" t="s">
        <v>1449</v>
      </c>
      <c r="K425" s="328">
        <v>4</v>
      </c>
      <c r="L425" s="390">
        <f t="shared" si="28"/>
        <v>11000</v>
      </c>
      <c r="M425" s="335">
        <v>22</v>
      </c>
      <c r="Q425"/>
      <c r="R425"/>
      <c r="S425"/>
      <c r="T425"/>
      <c r="U425"/>
    </row>
    <row r="426" spans="2:29" ht="25" hidden="1" customHeight="1" outlineLevel="1">
      <c r="B426" s="781"/>
      <c r="C426" s="782"/>
      <c r="D426" s="782"/>
      <c r="E426" s="782"/>
      <c r="F426" s="783"/>
      <c r="G426" s="153" t="s">
        <v>2187</v>
      </c>
      <c r="H426" s="333" t="s">
        <v>2124</v>
      </c>
      <c r="I426" s="737"/>
      <c r="J426" s="195" t="s">
        <v>1449</v>
      </c>
      <c r="K426" s="310">
        <v>3</v>
      </c>
      <c r="L426" s="390">
        <f t="shared" si="28"/>
        <v>6000</v>
      </c>
      <c r="M426" s="335">
        <v>12</v>
      </c>
      <c r="Q426"/>
      <c r="R426"/>
      <c r="S426"/>
      <c r="T426"/>
      <c r="U426"/>
    </row>
    <row r="427" spans="2:29" ht="25" hidden="1" customHeight="1" outlineLevel="1" thickBot="1">
      <c r="B427" s="824"/>
      <c r="C427" s="825"/>
      <c r="D427" s="825"/>
      <c r="E427" s="825"/>
      <c r="F427" s="826"/>
      <c r="G427" s="153" t="s">
        <v>2188</v>
      </c>
      <c r="H427" s="333" t="s">
        <v>2124</v>
      </c>
      <c r="I427" s="975"/>
      <c r="J427" s="195" t="s">
        <v>1449</v>
      </c>
      <c r="K427" s="255">
        <v>3</v>
      </c>
      <c r="L427" s="390">
        <f t="shared" si="28"/>
        <v>7500</v>
      </c>
      <c r="M427" s="335">
        <v>15</v>
      </c>
      <c r="Q427"/>
      <c r="R427"/>
      <c r="S427"/>
      <c r="T427"/>
      <c r="U427"/>
    </row>
    <row r="428" spans="2:29" ht="15" customHeight="1" collapsed="1" thickBot="1">
      <c r="B428" s="163" t="str">
        <f>$B$29</f>
        <v>International Initiative for Sustainable Built Environment</v>
      </c>
      <c r="C428" s="163"/>
      <c r="D428" s="163"/>
      <c r="E428" s="163"/>
      <c r="F428" s="163"/>
      <c r="G428" s="165"/>
      <c r="H428" s="12"/>
      <c r="I428" s="165"/>
      <c r="J428" s="12"/>
      <c r="K428" s="12"/>
      <c r="L428" s="12"/>
      <c r="M428" s="12"/>
    </row>
    <row r="429" spans="2:29" s="4" customFormat="1" ht="30" customHeight="1" thickBot="1">
      <c r="B429" s="765" t="str">
        <f>Settings!$B$9</f>
        <v>Damage Assessments for Sustainable Reconstruction in Ukraine</v>
      </c>
      <c r="C429" s="766"/>
      <c r="D429" s="766"/>
      <c r="E429" s="766"/>
      <c r="F429" s="766"/>
      <c r="G429" s="766"/>
      <c r="H429" s="966"/>
      <c r="I429" s="935" t="str">
        <f>I$2</f>
        <v>Irpin Urban Area</v>
      </c>
      <c r="J429" s="936"/>
      <c r="K429" s="937"/>
      <c r="L429" s="173" t="str">
        <f>L$2</f>
        <v>27Jan23</v>
      </c>
      <c r="M429" s="157">
        <v>21</v>
      </c>
      <c r="N429"/>
      <c r="O429"/>
      <c r="P429"/>
      <c r="Q429" s="2"/>
      <c r="S429" s="10"/>
      <c r="V429"/>
      <c r="W429"/>
      <c r="X429"/>
      <c r="Y429"/>
      <c r="Z429"/>
      <c r="AA429"/>
      <c r="AB429"/>
      <c r="AC429"/>
    </row>
    <row r="430" spans="2:29" s="4" customFormat="1" ht="27" customHeight="1">
      <c r="B430" s="938" t="str">
        <f>Languages!$C$191&amp;" 5"</f>
        <v>Commercial facilities 5</v>
      </c>
      <c r="C430" s="939"/>
      <c r="D430" s="787" t="str">
        <f>Languages!$N$176</f>
        <v>Information on main asset &amp; sub-assets</v>
      </c>
      <c r="E430" s="788" t="str">
        <f>Languages!$I$188</f>
        <v>Area and/or quantity assessed</v>
      </c>
      <c r="F430" s="789"/>
      <c r="G430" s="792" t="str">
        <f>Languages!$M$194</f>
        <v>Enter info on type and area / quantity of assets, type and extent of damage.</v>
      </c>
      <c r="H430" s="809"/>
      <c r="I430" s="796" t="s">
        <v>2118</v>
      </c>
      <c r="J430" s="798" t="str">
        <f>Languages!$K$177</f>
        <v>Approx. repair costs, priority 4 &amp; 5 assets, m. Euro</v>
      </c>
      <c r="K430" s="799"/>
      <c r="L430" s="389">
        <f>IF(K434&gt;3,L434)+IF(K442&gt;3,L442)</f>
        <v>0.20774999999999999</v>
      </c>
      <c r="M430" s="259" t="s">
        <v>1966</v>
      </c>
      <c r="N430"/>
      <c r="O430"/>
      <c r="P430"/>
      <c r="Q430" s="2"/>
      <c r="R430"/>
      <c r="S430"/>
      <c r="V430"/>
      <c r="W430"/>
      <c r="X430"/>
      <c r="Y430"/>
      <c r="Z430"/>
      <c r="AA430"/>
      <c r="AB430"/>
      <c r="AC430"/>
    </row>
    <row r="431" spans="2:29" ht="27" customHeight="1">
      <c r="B431" s="940"/>
      <c r="C431" s="941"/>
      <c r="D431" s="768"/>
      <c r="E431" s="790"/>
      <c r="F431" s="791"/>
      <c r="G431" s="794"/>
      <c r="H431" s="810"/>
      <c r="I431" s="797"/>
      <c r="J431" s="852" t="str">
        <f>Languages!$K$176</f>
        <v>Approx. total repair costs, m. Euro</v>
      </c>
      <c r="K431" s="853"/>
      <c r="L431" s="264">
        <f>(L434+L442)</f>
        <v>0.20774999999999999</v>
      </c>
      <c r="M431" s="260" t="s">
        <v>1966</v>
      </c>
      <c r="O431"/>
    </row>
    <row r="432" spans="2:29" ht="19" customHeight="1">
      <c r="B432" s="940"/>
      <c r="C432" s="941"/>
      <c r="D432" s="768"/>
      <c r="E432" s="802" t="s">
        <v>1546</v>
      </c>
      <c r="F432" s="769" t="str">
        <f>Languages!$N$178</f>
        <v>Unit type</v>
      </c>
      <c r="G432" s="769" t="s">
        <v>2122</v>
      </c>
      <c r="H432" s="769" t="s">
        <v>2132</v>
      </c>
      <c r="I432" s="331" t="s">
        <v>2117</v>
      </c>
      <c r="J432" s="771" t="str">
        <f>Languages!$K$178</f>
        <v>Actions</v>
      </c>
      <c r="K432" s="772"/>
      <c r="L432" s="945" t="str">
        <f>Languages!$M$176</f>
        <v>Est. repair cost</v>
      </c>
      <c r="M432" s="946"/>
      <c r="O432"/>
    </row>
    <row r="433" spans="2:21" ht="27" customHeight="1" thickBot="1">
      <c r="B433" s="940"/>
      <c r="C433" s="941"/>
      <c r="D433" s="768"/>
      <c r="E433" s="803"/>
      <c r="F433" s="770"/>
      <c r="G433" s="770"/>
      <c r="H433" s="770"/>
      <c r="I433" s="330" t="str">
        <f>Languages!$E$190</f>
        <v>Social Impact level</v>
      </c>
      <c r="J433" s="492" t="str">
        <f>Languages!$K$185</f>
        <v>Action required</v>
      </c>
      <c r="K433" s="504" t="str">
        <f>Languages!$G$193</f>
        <v>Priority 
1 - 5</v>
      </c>
      <c r="L433" s="493" t="str">
        <f>Languages!$M$177</f>
        <v>Total m. Euro</v>
      </c>
      <c r="M433" s="494" t="str">
        <f>Languages!$M$178&amp;" per m2"</f>
        <v>Est. Euro per m2</v>
      </c>
      <c r="O433"/>
    </row>
    <row r="434" spans="2:21" ht="24" customHeight="1">
      <c r="B434" s="917" t="str">
        <f>Languages!C$298</f>
        <v>Restaurant / café</v>
      </c>
      <c r="C434" s="918"/>
      <c r="D434" s="579" t="s">
        <v>2178</v>
      </c>
      <c r="E434" s="933">
        <v>60</v>
      </c>
      <c r="F434" s="934"/>
      <c r="G434" s="964" t="str">
        <f>G$13</f>
        <v>Whole Asset or Building</v>
      </c>
      <c r="H434" s="967" t="s">
        <v>2124</v>
      </c>
      <c r="I434" s="501" t="s">
        <v>2103</v>
      </c>
      <c r="J434" s="927" t="s">
        <v>2212</v>
      </c>
      <c r="K434" s="929">
        <f>SUM(K437:K441)/5</f>
        <v>4</v>
      </c>
      <c r="L434" s="947">
        <f>SUM(L437:L441)/1000000</f>
        <v>3.3750000000000002E-2</v>
      </c>
      <c r="M434" s="962" t="str">
        <f>M$13</f>
        <v>million Euro</v>
      </c>
      <c r="Q434"/>
      <c r="R434"/>
      <c r="S434"/>
      <c r="T434"/>
      <c r="U434"/>
    </row>
    <row r="435" spans="2:21" ht="24" customHeight="1" thickBot="1">
      <c r="B435" s="919"/>
      <c r="C435" s="920"/>
      <c r="D435" s="550" t="s">
        <v>1555</v>
      </c>
      <c r="E435" s="944">
        <f>E434*E436</f>
        <v>15000</v>
      </c>
      <c r="F435" s="932"/>
      <c r="G435" s="965"/>
      <c r="H435" s="968"/>
      <c r="I435" s="538" t="s">
        <v>2115</v>
      </c>
      <c r="J435" s="928"/>
      <c r="K435" s="930"/>
      <c r="L435" s="948"/>
      <c r="M435" s="963"/>
      <c r="Q435"/>
      <c r="R435"/>
      <c r="S435"/>
      <c r="T435"/>
      <c r="U435"/>
    </row>
    <row r="436" spans="2:21" ht="25" hidden="1" customHeight="1" outlineLevel="1">
      <c r="B436" s="915"/>
      <c r="C436" s="916"/>
      <c r="D436" s="507" t="s">
        <v>1554</v>
      </c>
      <c r="E436" s="337">
        <v>250</v>
      </c>
      <c r="F436" s="171" t="s">
        <v>1528</v>
      </c>
      <c r="G436" s="461" t="str">
        <f>G$15</f>
        <v>Components</v>
      </c>
      <c r="H436" s="330" t="s">
        <v>2250</v>
      </c>
      <c r="I436" s="497" t="s">
        <v>2141</v>
      </c>
      <c r="J436" s="351" t="str">
        <f>Languages!$K$185</f>
        <v>Action required</v>
      </c>
      <c r="K436" s="362"/>
      <c r="L436" s="498" t="s">
        <v>2144</v>
      </c>
      <c r="M436" s="384" t="s">
        <v>2143</v>
      </c>
      <c r="Q436"/>
      <c r="R436"/>
      <c r="S436"/>
      <c r="T436"/>
      <c r="U436"/>
    </row>
    <row r="437" spans="2:21" ht="25" hidden="1" customHeight="1" outlineLevel="1">
      <c r="B437" s="781"/>
      <c r="C437" s="782"/>
      <c r="D437" s="779"/>
      <c r="E437" s="779"/>
      <c r="F437" s="780"/>
      <c r="G437" s="238" t="s">
        <v>1983</v>
      </c>
      <c r="H437" s="333" t="s">
        <v>2124</v>
      </c>
      <c r="I437" s="736"/>
      <c r="J437" s="195" t="s">
        <v>1473</v>
      </c>
      <c r="K437" s="167">
        <v>4</v>
      </c>
      <c r="L437" s="390">
        <f>E$436*M437</f>
        <v>7500</v>
      </c>
      <c r="M437" s="345">
        <v>30</v>
      </c>
      <c r="Q437"/>
      <c r="R437"/>
      <c r="S437"/>
      <c r="T437"/>
      <c r="U437"/>
    </row>
    <row r="438" spans="2:21" ht="25" hidden="1" customHeight="1" outlineLevel="1">
      <c r="B438" s="781"/>
      <c r="C438" s="782"/>
      <c r="D438" s="782"/>
      <c r="E438" s="782"/>
      <c r="F438" s="783"/>
      <c r="G438" s="238" t="s">
        <v>1543</v>
      </c>
      <c r="H438" s="333" t="s">
        <v>2124</v>
      </c>
      <c r="I438" s="737"/>
      <c r="J438" s="195" t="s">
        <v>1454</v>
      </c>
      <c r="K438" s="310">
        <v>5</v>
      </c>
      <c r="L438" s="390">
        <f t="shared" ref="L438" si="29">E$436*M438</f>
        <v>9500</v>
      </c>
      <c r="M438" s="345">
        <v>38</v>
      </c>
      <c r="Q438"/>
      <c r="R438"/>
      <c r="S438"/>
      <c r="T438"/>
      <c r="U438"/>
    </row>
    <row r="439" spans="2:21" ht="25" hidden="1" customHeight="1" outlineLevel="1">
      <c r="B439" s="781"/>
      <c r="C439" s="782"/>
      <c r="D439" s="782"/>
      <c r="E439" s="782"/>
      <c r="F439" s="783"/>
      <c r="G439" s="238" t="s">
        <v>1540</v>
      </c>
      <c r="H439" s="333" t="s">
        <v>2124</v>
      </c>
      <c r="I439" s="737"/>
      <c r="J439" s="195" t="s">
        <v>1454</v>
      </c>
      <c r="K439" s="310">
        <v>5</v>
      </c>
      <c r="L439" s="390">
        <f t="shared" ref="L439:L441" si="30">E$436*M439</f>
        <v>11000</v>
      </c>
      <c r="M439" s="345">
        <v>44</v>
      </c>
      <c r="Q439"/>
      <c r="R439"/>
      <c r="S439"/>
      <c r="T439"/>
      <c r="U439"/>
    </row>
    <row r="440" spans="2:21" ht="25" hidden="1" customHeight="1" outlineLevel="1">
      <c r="B440" s="773" t="s">
        <v>1990</v>
      </c>
      <c r="C440" s="774"/>
      <c r="D440" s="774"/>
      <c r="E440" s="774"/>
      <c r="F440" s="775"/>
      <c r="G440" s="153" t="s">
        <v>2189</v>
      </c>
      <c r="H440" s="333" t="s">
        <v>2123</v>
      </c>
      <c r="I440" s="737"/>
      <c r="J440" s="195" t="s">
        <v>1446</v>
      </c>
      <c r="K440" s="310">
        <v>3</v>
      </c>
      <c r="L440" s="390">
        <f t="shared" si="30"/>
        <v>4500</v>
      </c>
      <c r="M440" s="335">
        <v>18</v>
      </c>
      <c r="Q440"/>
      <c r="R440"/>
      <c r="S440"/>
      <c r="T440"/>
      <c r="U440"/>
    </row>
    <row r="441" spans="2:21" ht="25" hidden="1" customHeight="1" outlineLevel="1" thickBot="1">
      <c r="B441" s="773" t="s">
        <v>1990</v>
      </c>
      <c r="C441" s="774"/>
      <c r="D441" s="774"/>
      <c r="E441" s="774"/>
      <c r="F441" s="775"/>
      <c r="G441" s="153" t="s">
        <v>2190</v>
      </c>
      <c r="H441" s="513"/>
      <c r="I441" s="737"/>
      <c r="J441" s="385" t="s">
        <v>2113</v>
      </c>
      <c r="K441" s="512">
        <v>3</v>
      </c>
      <c r="L441" s="502">
        <f t="shared" si="30"/>
        <v>1250</v>
      </c>
      <c r="M441" s="401">
        <v>5</v>
      </c>
      <c r="Q441"/>
      <c r="R441"/>
      <c r="S441"/>
      <c r="T441"/>
      <c r="U441"/>
    </row>
    <row r="442" spans="2:21" ht="24" customHeight="1" collapsed="1">
      <c r="B442" s="917" t="str">
        <f>Languages!C$312</f>
        <v>Bus depot</v>
      </c>
      <c r="C442" s="918"/>
      <c r="D442" s="579" t="s">
        <v>2178</v>
      </c>
      <c r="E442" s="949">
        <v>1</v>
      </c>
      <c r="F442" s="950"/>
      <c r="G442" s="964" t="str">
        <f>G$13</f>
        <v>Whole Asset or Building</v>
      </c>
      <c r="H442" s="967" t="s">
        <v>2124</v>
      </c>
      <c r="I442" s="501" t="s">
        <v>2103</v>
      </c>
      <c r="J442" s="927" t="s">
        <v>2212</v>
      </c>
      <c r="K442" s="929">
        <f>SUM(K445:K449)/5</f>
        <v>3.2</v>
      </c>
      <c r="L442" s="947">
        <f>SUM(L445:L449)/1000000</f>
        <v>0.17399999999999999</v>
      </c>
      <c r="M442" s="962" t="str">
        <f>M$13</f>
        <v>million Euro</v>
      </c>
      <c r="Q442"/>
      <c r="R442"/>
      <c r="S442"/>
      <c r="T442"/>
      <c r="U442"/>
    </row>
    <row r="443" spans="2:21" ht="24" customHeight="1" thickBot="1">
      <c r="B443" s="919"/>
      <c r="C443" s="920"/>
      <c r="D443" s="550" t="s">
        <v>1555</v>
      </c>
      <c r="E443" s="944">
        <f>E442*E444</f>
        <v>6000</v>
      </c>
      <c r="F443" s="932"/>
      <c r="G443" s="965"/>
      <c r="H443" s="968"/>
      <c r="I443" s="538" t="s">
        <v>2115</v>
      </c>
      <c r="J443" s="928"/>
      <c r="K443" s="930"/>
      <c r="L443" s="948"/>
      <c r="M443" s="963"/>
      <c r="Q443"/>
      <c r="R443"/>
      <c r="S443"/>
      <c r="T443"/>
      <c r="U443"/>
    </row>
    <row r="444" spans="2:21" ht="25" hidden="1" customHeight="1" outlineLevel="1">
      <c r="B444" s="915"/>
      <c r="C444" s="916"/>
      <c r="D444" s="507" t="s">
        <v>1554</v>
      </c>
      <c r="E444" s="358">
        <v>6000</v>
      </c>
      <c r="F444" s="171" t="s">
        <v>1528</v>
      </c>
      <c r="G444" s="461" t="str">
        <f>G$15</f>
        <v>Components</v>
      </c>
      <c r="H444" s="330" t="s">
        <v>2250</v>
      </c>
      <c r="I444" s="497" t="s">
        <v>2141</v>
      </c>
      <c r="J444" s="351" t="str">
        <f>Languages!$K$185</f>
        <v>Action required</v>
      </c>
      <c r="K444" s="362"/>
      <c r="L444" s="498" t="s">
        <v>2144</v>
      </c>
      <c r="M444" s="384" t="s">
        <v>2143</v>
      </c>
      <c r="Q444"/>
      <c r="R444"/>
      <c r="S444"/>
      <c r="T444"/>
      <c r="U444"/>
    </row>
    <row r="445" spans="2:21" ht="25" hidden="1" customHeight="1" outlineLevel="1">
      <c r="B445" s="781"/>
      <c r="C445" s="782"/>
      <c r="D445" s="779"/>
      <c r="E445" s="779"/>
      <c r="F445" s="780"/>
      <c r="G445" s="238" t="s">
        <v>1983</v>
      </c>
      <c r="H445" s="333" t="s">
        <v>2124</v>
      </c>
      <c r="I445" s="736"/>
      <c r="J445" s="308" t="s">
        <v>1449</v>
      </c>
      <c r="K445" s="310">
        <v>2</v>
      </c>
      <c r="L445" s="390">
        <f>E$444*M445</f>
        <v>54000</v>
      </c>
      <c r="M445" s="345">
        <v>9</v>
      </c>
      <c r="Q445"/>
      <c r="R445"/>
      <c r="S445"/>
      <c r="T445"/>
      <c r="U445"/>
    </row>
    <row r="446" spans="2:21" ht="25" hidden="1" customHeight="1" outlineLevel="1">
      <c r="B446" s="781"/>
      <c r="C446" s="782"/>
      <c r="D446" s="782"/>
      <c r="E446" s="782"/>
      <c r="F446" s="783"/>
      <c r="G446" s="238" t="s">
        <v>1543</v>
      </c>
      <c r="H446" s="333" t="s">
        <v>2124</v>
      </c>
      <c r="I446" s="737"/>
      <c r="J446" s="308" t="s">
        <v>1454</v>
      </c>
      <c r="K446" s="310">
        <v>4</v>
      </c>
      <c r="L446" s="390">
        <f t="shared" ref="L446" si="31">E$444*M446</f>
        <v>54000</v>
      </c>
      <c r="M446" s="345">
        <v>9</v>
      </c>
      <c r="Q446"/>
      <c r="R446"/>
      <c r="S446"/>
      <c r="T446"/>
      <c r="U446"/>
    </row>
    <row r="447" spans="2:21" ht="25" hidden="1" customHeight="1" outlineLevel="1">
      <c r="B447" s="781"/>
      <c r="C447" s="782"/>
      <c r="D447" s="782"/>
      <c r="E447" s="782"/>
      <c r="F447" s="783"/>
      <c r="G447" s="238" t="s">
        <v>1540</v>
      </c>
      <c r="H447" s="333" t="s">
        <v>2124</v>
      </c>
      <c r="I447" s="737"/>
      <c r="J447" s="308" t="s">
        <v>1454</v>
      </c>
      <c r="K447" s="310">
        <v>4</v>
      </c>
      <c r="L447" s="390">
        <f t="shared" ref="L447:L449" si="32">E$444*M447</f>
        <v>66000</v>
      </c>
      <c r="M447" s="345">
        <v>11</v>
      </c>
      <c r="Q447"/>
      <c r="R447"/>
      <c r="S447"/>
      <c r="T447"/>
      <c r="U447"/>
    </row>
    <row r="448" spans="2:21" ht="25" hidden="1" customHeight="1" outlineLevel="1">
      <c r="B448" s="773" t="s">
        <v>1990</v>
      </c>
      <c r="C448" s="774"/>
      <c r="D448" s="774"/>
      <c r="E448" s="774"/>
      <c r="F448" s="775"/>
      <c r="G448" s="153"/>
      <c r="H448" s="153"/>
      <c r="I448" s="737"/>
      <c r="J448" s="195"/>
      <c r="K448" s="310">
        <v>3</v>
      </c>
      <c r="L448" s="390">
        <f t="shared" si="32"/>
        <v>0</v>
      </c>
      <c r="M448" s="335">
        <v>0</v>
      </c>
      <c r="Q448"/>
      <c r="R448"/>
      <c r="S448"/>
      <c r="T448"/>
      <c r="U448"/>
    </row>
    <row r="449" spans="2:29" ht="25" hidden="1" customHeight="1" outlineLevel="1" thickBot="1">
      <c r="B449" s="992" t="s">
        <v>1990</v>
      </c>
      <c r="C449" s="993"/>
      <c r="D449" s="993"/>
      <c r="E449" s="993"/>
      <c r="F449" s="994"/>
      <c r="G449" s="153"/>
      <c r="H449" s="153"/>
      <c r="I449" s="975"/>
      <c r="J449" s="195"/>
      <c r="K449" s="255">
        <v>3</v>
      </c>
      <c r="L449" s="390">
        <f t="shared" si="32"/>
        <v>0</v>
      </c>
      <c r="M449" s="335">
        <v>0</v>
      </c>
      <c r="Q449"/>
      <c r="R449"/>
      <c r="S449"/>
      <c r="T449"/>
      <c r="U449"/>
    </row>
    <row r="450" spans="2:29" ht="15" customHeight="1" collapsed="1" thickBot="1">
      <c r="B450" s="163" t="str">
        <f>$B$29</f>
        <v>International Initiative for Sustainable Built Environment</v>
      </c>
      <c r="C450" s="163"/>
      <c r="D450" s="163"/>
      <c r="E450" s="163"/>
      <c r="F450" s="163"/>
      <c r="G450" s="165"/>
      <c r="H450" s="12"/>
      <c r="I450" s="165"/>
      <c r="J450" s="12"/>
      <c r="K450" s="12"/>
      <c r="L450" s="12"/>
      <c r="M450" s="12"/>
    </row>
    <row r="451" spans="2:29" s="4" customFormat="1" ht="30" customHeight="1" thickBot="1">
      <c r="B451" s="765" t="str">
        <f>Settings!$B$9</f>
        <v>Damage Assessments for Sustainable Reconstruction in Ukraine</v>
      </c>
      <c r="C451" s="766"/>
      <c r="D451" s="766"/>
      <c r="E451" s="766"/>
      <c r="F451" s="766"/>
      <c r="G451" s="766"/>
      <c r="H451" s="966"/>
      <c r="I451" s="935" t="str">
        <f>I$2</f>
        <v>Irpin Urban Area</v>
      </c>
      <c r="J451" s="936"/>
      <c r="K451" s="937"/>
      <c r="L451" s="173" t="str">
        <f>L$2</f>
        <v>27Jan23</v>
      </c>
      <c r="M451" s="157">
        <v>22</v>
      </c>
      <c r="N451"/>
      <c r="O451"/>
      <c r="P451"/>
      <c r="Q451" s="2"/>
      <c r="S451" s="10"/>
      <c r="V451"/>
      <c r="W451"/>
      <c r="X451"/>
      <c r="Y451"/>
      <c r="Z451"/>
      <c r="AA451"/>
      <c r="AB451"/>
      <c r="AC451"/>
    </row>
    <row r="452" spans="2:29" s="4" customFormat="1" ht="27" customHeight="1">
      <c r="B452" s="938" t="str">
        <f>Languages!$C$191&amp;" 6"</f>
        <v>Commercial facilities 6</v>
      </c>
      <c r="C452" s="939"/>
      <c r="D452" s="787" t="str">
        <f>Languages!$N$176</f>
        <v>Information on main asset &amp; sub-assets</v>
      </c>
      <c r="E452" s="788" t="str">
        <f>Languages!$I$188</f>
        <v>Area and/or quantity assessed</v>
      </c>
      <c r="F452" s="789"/>
      <c r="G452" s="792" t="str">
        <f>Languages!$M$194</f>
        <v>Enter info on type and area / quantity of assets, type and extent of damage.</v>
      </c>
      <c r="H452" s="809"/>
      <c r="I452" s="796" t="s">
        <v>2118</v>
      </c>
      <c r="J452" s="798" t="str">
        <f>Languages!$K$177</f>
        <v>Approx. repair costs, priority 4 &amp; 5 assets, m. Euro</v>
      </c>
      <c r="K452" s="799"/>
      <c r="L452" s="389">
        <f>IF(K456&gt;3,L456)+IF(K464&gt;3,L464)</f>
        <v>8.6400000000000001E-3</v>
      </c>
      <c r="M452" s="259" t="s">
        <v>1966</v>
      </c>
      <c r="N452"/>
      <c r="O452"/>
      <c r="P452"/>
      <c r="Q452" s="2"/>
      <c r="R452"/>
      <c r="S452"/>
      <c r="V452"/>
      <c r="W452"/>
      <c r="X452"/>
      <c r="Y452"/>
      <c r="Z452"/>
      <c r="AA452"/>
      <c r="AB452"/>
      <c r="AC452"/>
    </row>
    <row r="453" spans="2:29" ht="27" customHeight="1">
      <c r="B453" s="940"/>
      <c r="C453" s="941"/>
      <c r="D453" s="768"/>
      <c r="E453" s="790"/>
      <c r="F453" s="791"/>
      <c r="G453" s="794"/>
      <c r="H453" s="810"/>
      <c r="I453" s="797"/>
      <c r="J453" s="852" t="str">
        <f>Languages!$K$176</f>
        <v>Approx. total repair costs, m. Euro</v>
      </c>
      <c r="K453" s="853"/>
      <c r="L453" s="264">
        <f>L456+L464</f>
        <v>8.7840000000000001E-2</v>
      </c>
      <c r="M453" s="260" t="s">
        <v>1966</v>
      </c>
      <c r="O453"/>
    </row>
    <row r="454" spans="2:29" ht="19" customHeight="1">
      <c r="B454" s="940"/>
      <c r="C454" s="941"/>
      <c r="D454" s="768"/>
      <c r="E454" s="802" t="s">
        <v>1546</v>
      </c>
      <c r="F454" s="769" t="str">
        <f>Languages!$N$178</f>
        <v>Unit type</v>
      </c>
      <c r="G454" s="769" t="s">
        <v>2122</v>
      </c>
      <c r="H454" s="769" t="s">
        <v>2132</v>
      </c>
      <c r="I454" s="331" t="s">
        <v>2117</v>
      </c>
      <c r="J454" s="771" t="str">
        <f>Languages!$K$178</f>
        <v>Actions</v>
      </c>
      <c r="K454" s="772"/>
      <c r="L454" s="945" t="str">
        <f>Languages!$M$176</f>
        <v>Est. repair cost</v>
      </c>
      <c r="M454" s="946"/>
      <c r="O454"/>
    </row>
    <row r="455" spans="2:29" ht="27" customHeight="1" thickBot="1">
      <c r="B455" s="940"/>
      <c r="C455" s="941"/>
      <c r="D455" s="768"/>
      <c r="E455" s="803"/>
      <c r="F455" s="770"/>
      <c r="G455" s="770"/>
      <c r="H455" s="770"/>
      <c r="I455" s="330" t="str">
        <f>Languages!$E$190</f>
        <v>Social Impact level</v>
      </c>
      <c r="J455" s="492" t="str">
        <f>Languages!$K$185</f>
        <v>Action required</v>
      </c>
      <c r="K455" s="504" t="str">
        <f>Languages!$G$193</f>
        <v>Priority 
1 - 5</v>
      </c>
      <c r="L455" s="493" t="str">
        <f>Languages!$M$177</f>
        <v>Total m. Euro</v>
      </c>
      <c r="M455" s="494" t="str">
        <f>Languages!$M$178&amp;" per m2"</f>
        <v>Est. Euro per m2</v>
      </c>
      <c r="O455"/>
    </row>
    <row r="456" spans="2:29" ht="24" customHeight="1">
      <c r="B456" s="917" t="str">
        <f>Languages!C$313</f>
        <v>Parking structures</v>
      </c>
      <c r="C456" s="918"/>
      <c r="D456" s="579" t="s">
        <v>2178</v>
      </c>
      <c r="E456" s="949">
        <v>1</v>
      </c>
      <c r="F456" s="950"/>
      <c r="G456" s="964" t="str">
        <f>G$13</f>
        <v>Whole Asset or Building</v>
      </c>
      <c r="H456" s="967" t="s">
        <v>2124</v>
      </c>
      <c r="I456" s="501" t="s">
        <v>2103</v>
      </c>
      <c r="J456" s="927" t="s">
        <v>2212</v>
      </c>
      <c r="K456" s="929">
        <f>SUM(K459:K463)/5</f>
        <v>3</v>
      </c>
      <c r="L456" s="947">
        <f>SUM(L459:L463)/1000000</f>
        <v>7.9200000000000007E-2</v>
      </c>
      <c r="M456" s="962" t="str">
        <f>M$13</f>
        <v>million Euro</v>
      </c>
      <c r="Q456"/>
      <c r="R456"/>
      <c r="S456"/>
      <c r="T456"/>
      <c r="U456"/>
    </row>
    <row r="457" spans="2:29" ht="24" customHeight="1" thickBot="1">
      <c r="B457" s="919"/>
      <c r="C457" s="920"/>
      <c r="D457" s="550" t="s">
        <v>1555</v>
      </c>
      <c r="E457" s="944">
        <f>E456*E458</f>
        <v>1200</v>
      </c>
      <c r="F457" s="932"/>
      <c r="G457" s="965"/>
      <c r="H457" s="968"/>
      <c r="I457" s="538" t="s">
        <v>2115</v>
      </c>
      <c r="J457" s="928"/>
      <c r="K457" s="930"/>
      <c r="L457" s="948"/>
      <c r="M457" s="963"/>
      <c r="Q457"/>
      <c r="R457"/>
      <c r="S457"/>
      <c r="T457"/>
      <c r="U457"/>
    </row>
    <row r="458" spans="2:29" ht="25" hidden="1" customHeight="1" outlineLevel="1">
      <c r="B458" s="915"/>
      <c r="C458" s="916"/>
      <c r="D458" s="507" t="s">
        <v>1554</v>
      </c>
      <c r="E458" s="358">
        <v>1200</v>
      </c>
      <c r="F458" s="171" t="s">
        <v>1528</v>
      </c>
      <c r="G458" s="461" t="str">
        <f>G$15</f>
        <v>Components</v>
      </c>
      <c r="H458" s="330" t="s">
        <v>2250</v>
      </c>
      <c r="I458" s="497" t="s">
        <v>2141</v>
      </c>
      <c r="J458" s="351" t="str">
        <f>Languages!$K$185</f>
        <v>Action required</v>
      </c>
      <c r="K458" s="362"/>
      <c r="L458" s="498" t="s">
        <v>2144</v>
      </c>
      <c r="M458" s="499" t="s">
        <v>2143</v>
      </c>
      <c r="Q458"/>
      <c r="R458"/>
      <c r="S458"/>
      <c r="T458"/>
      <c r="U458"/>
    </row>
    <row r="459" spans="2:29" ht="25" hidden="1" customHeight="1" outlineLevel="1">
      <c r="B459" s="781"/>
      <c r="C459" s="782"/>
      <c r="D459" s="779"/>
      <c r="E459" s="779"/>
      <c r="F459" s="780"/>
      <c r="G459" s="238" t="s">
        <v>1543</v>
      </c>
      <c r="H459" s="333" t="s">
        <v>2124</v>
      </c>
      <c r="I459" s="736"/>
      <c r="J459" s="308" t="s">
        <v>1449</v>
      </c>
      <c r="K459" s="310">
        <v>3</v>
      </c>
      <c r="L459" s="390">
        <f>E$458*M459</f>
        <v>36000</v>
      </c>
      <c r="M459" s="345">
        <v>30</v>
      </c>
      <c r="Q459"/>
      <c r="R459"/>
      <c r="S459"/>
      <c r="T459"/>
      <c r="U459"/>
    </row>
    <row r="460" spans="2:29" ht="25" hidden="1" customHeight="1" outlineLevel="1">
      <c r="B460" s="781"/>
      <c r="C460" s="782"/>
      <c r="D460" s="782"/>
      <c r="E460" s="782"/>
      <c r="F460" s="783"/>
      <c r="G460" s="238" t="s">
        <v>1540</v>
      </c>
      <c r="H460" s="333" t="s">
        <v>2124</v>
      </c>
      <c r="I460" s="737"/>
      <c r="J460" s="308" t="s">
        <v>1449</v>
      </c>
      <c r="K460" s="310">
        <v>3</v>
      </c>
      <c r="L460" s="390">
        <f>E$458*M460</f>
        <v>13200</v>
      </c>
      <c r="M460" s="345">
        <v>11</v>
      </c>
      <c r="Q460"/>
      <c r="R460"/>
      <c r="S460"/>
      <c r="T460"/>
      <c r="U460"/>
    </row>
    <row r="461" spans="2:29" ht="25" hidden="1" customHeight="1" outlineLevel="1">
      <c r="B461" s="781"/>
      <c r="C461" s="782"/>
      <c r="D461" s="782"/>
      <c r="E461" s="782"/>
      <c r="F461" s="783"/>
      <c r="G461" s="238" t="s">
        <v>2038</v>
      </c>
      <c r="H461" s="333" t="s">
        <v>2124</v>
      </c>
      <c r="I461" s="737"/>
      <c r="J461" s="308" t="s">
        <v>1449</v>
      </c>
      <c r="K461" s="310">
        <v>3</v>
      </c>
      <c r="L461" s="390">
        <f>E$458*M461</f>
        <v>13200</v>
      </c>
      <c r="M461" s="345">
        <v>11</v>
      </c>
      <c r="Q461"/>
      <c r="R461"/>
      <c r="S461"/>
      <c r="T461"/>
      <c r="U461"/>
    </row>
    <row r="462" spans="2:29" ht="25" hidden="1" customHeight="1" outlineLevel="1">
      <c r="B462" s="773" t="s">
        <v>1990</v>
      </c>
      <c r="C462" s="774"/>
      <c r="D462" s="774"/>
      <c r="E462" s="774"/>
      <c r="F462" s="775"/>
      <c r="G462" s="153"/>
      <c r="H462" s="153"/>
      <c r="I462" s="737"/>
      <c r="J462" s="195"/>
      <c r="K462" s="310">
        <v>3</v>
      </c>
      <c r="L462" s="390">
        <f>E$458*M462</f>
        <v>16800</v>
      </c>
      <c r="M462" s="345">
        <v>14</v>
      </c>
      <c r="Q462"/>
      <c r="R462"/>
      <c r="S462"/>
      <c r="T462"/>
      <c r="U462"/>
    </row>
    <row r="463" spans="2:29" ht="25" hidden="1" customHeight="1" outlineLevel="1" thickBot="1">
      <c r="B463" s="773" t="s">
        <v>1990</v>
      </c>
      <c r="C463" s="774"/>
      <c r="D463" s="774"/>
      <c r="E463" s="774"/>
      <c r="F463" s="775"/>
      <c r="G463" s="153"/>
      <c r="H463" s="153"/>
      <c r="I463" s="737"/>
      <c r="J463" s="385"/>
      <c r="K463" s="309">
        <v>3</v>
      </c>
      <c r="L463" s="502">
        <f>E$458*M463</f>
        <v>0</v>
      </c>
      <c r="M463" s="401">
        <v>0</v>
      </c>
      <c r="Q463"/>
      <c r="R463"/>
      <c r="S463"/>
      <c r="T463"/>
      <c r="U463"/>
    </row>
    <row r="464" spans="2:29" ht="24" customHeight="1" collapsed="1">
      <c r="B464" s="917" t="str">
        <f>Languages!C$314</f>
        <v>Auto service stations</v>
      </c>
      <c r="C464" s="918"/>
      <c r="D464" s="579" t="s">
        <v>2178</v>
      </c>
      <c r="E464" s="949">
        <v>1</v>
      </c>
      <c r="F464" s="950"/>
      <c r="G464" s="964" t="str">
        <f>G$13</f>
        <v>Whole Asset or Building</v>
      </c>
      <c r="H464" s="967" t="s">
        <v>2124</v>
      </c>
      <c r="I464" s="501" t="s">
        <v>2103</v>
      </c>
      <c r="J464" s="927" t="s">
        <v>2212</v>
      </c>
      <c r="K464" s="929">
        <f>SUM(K467:K471)/5</f>
        <v>3.6</v>
      </c>
      <c r="L464" s="947">
        <f>SUM(L467:L471)/1000000</f>
        <v>8.6400000000000001E-3</v>
      </c>
      <c r="M464" s="962" t="str">
        <f>M$13</f>
        <v>million Euro</v>
      </c>
      <c r="Q464"/>
      <c r="R464"/>
      <c r="S464"/>
      <c r="T464"/>
      <c r="U464"/>
    </row>
    <row r="465" spans="2:29" ht="24" customHeight="1" thickBot="1">
      <c r="B465" s="919"/>
      <c r="C465" s="920"/>
      <c r="D465" s="550" t="s">
        <v>1555</v>
      </c>
      <c r="E465" s="944">
        <f>E464*E466</f>
        <v>120</v>
      </c>
      <c r="F465" s="932"/>
      <c r="G465" s="965"/>
      <c r="H465" s="968"/>
      <c r="I465" s="538" t="s">
        <v>2115</v>
      </c>
      <c r="J465" s="928"/>
      <c r="K465" s="930"/>
      <c r="L465" s="948"/>
      <c r="M465" s="963"/>
      <c r="Q465"/>
      <c r="R465"/>
      <c r="S465"/>
      <c r="T465"/>
      <c r="U465"/>
    </row>
    <row r="466" spans="2:29" ht="25" hidden="1" customHeight="1" outlineLevel="1">
      <c r="B466" s="915"/>
      <c r="C466" s="916"/>
      <c r="D466" s="507" t="s">
        <v>1554</v>
      </c>
      <c r="E466" s="358">
        <v>120</v>
      </c>
      <c r="F466" s="171" t="s">
        <v>1528</v>
      </c>
      <c r="G466" s="461" t="str">
        <f>G$15</f>
        <v>Components</v>
      </c>
      <c r="H466" s="330" t="s">
        <v>2250</v>
      </c>
      <c r="I466" s="497" t="s">
        <v>2141</v>
      </c>
      <c r="J466" s="351" t="str">
        <f>Languages!$K$185</f>
        <v>Action required</v>
      </c>
      <c r="K466" s="362"/>
      <c r="L466" s="498" t="s">
        <v>2144</v>
      </c>
      <c r="M466" s="384" t="s">
        <v>2143</v>
      </c>
      <c r="Q466"/>
      <c r="R466"/>
      <c r="S466"/>
      <c r="T466"/>
      <c r="U466"/>
    </row>
    <row r="467" spans="2:29" ht="25" hidden="1" customHeight="1" outlineLevel="1">
      <c r="B467" s="781"/>
      <c r="C467" s="782"/>
      <c r="D467" s="779"/>
      <c r="E467" s="779"/>
      <c r="F467" s="780"/>
      <c r="G467" s="238" t="s">
        <v>1543</v>
      </c>
      <c r="H467" s="333" t="s">
        <v>2124</v>
      </c>
      <c r="I467" s="736"/>
      <c r="J467" s="195" t="s">
        <v>1449</v>
      </c>
      <c r="K467" s="266">
        <v>4</v>
      </c>
      <c r="L467" s="390">
        <f>E$466*M467</f>
        <v>3600</v>
      </c>
      <c r="M467" s="345">
        <v>30</v>
      </c>
      <c r="Q467"/>
      <c r="R467"/>
      <c r="S467"/>
      <c r="T467"/>
      <c r="U467"/>
    </row>
    <row r="468" spans="2:29" ht="25" hidden="1" customHeight="1" outlineLevel="1">
      <c r="B468" s="781"/>
      <c r="C468" s="782"/>
      <c r="D468" s="782"/>
      <c r="E468" s="782"/>
      <c r="F468" s="783"/>
      <c r="G468" s="238" t="s">
        <v>1540</v>
      </c>
      <c r="H468" s="333" t="s">
        <v>2124</v>
      </c>
      <c r="I468" s="737"/>
      <c r="J468" s="308" t="s">
        <v>1449</v>
      </c>
      <c r="K468" s="310">
        <v>4</v>
      </c>
      <c r="L468" s="390">
        <f>E$466*M468</f>
        <v>1320</v>
      </c>
      <c r="M468" s="345">
        <v>11</v>
      </c>
      <c r="Q468"/>
      <c r="R468"/>
      <c r="S468"/>
      <c r="T468"/>
      <c r="U468"/>
    </row>
    <row r="469" spans="2:29" ht="25" hidden="1" customHeight="1" outlineLevel="1">
      <c r="B469" s="781"/>
      <c r="C469" s="782"/>
      <c r="D469" s="782"/>
      <c r="E469" s="782"/>
      <c r="F469" s="783"/>
      <c r="G469" s="238" t="s">
        <v>2038</v>
      </c>
      <c r="H469" s="333" t="s">
        <v>2124</v>
      </c>
      <c r="I469" s="737"/>
      <c r="J469" s="308" t="s">
        <v>1449</v>
      </c>
      <c r="K469" s="310">
        <v>4</v>
      </c>
      <c r="L469" s="390">
        <f>E$466*M469</f>
        <v>1320</v>
      </c>
      <c r="M469" s="345">
        <v>11</v>
      </c>
      <c r="Q469"/>
      <c r="R469"/>
      <c r="S469"/>
      <c r="T469"/>
      <c r="U469"/>
    </row>
    <row r="470" spans="2:29" ht="25" hidden="1" customHeight="1" outlineLevel="1">
      <c r="B470" s="773" t="s">
        <v>1990</v>
      </c>
      <c r="C470" s="774"/>
      <c r="D470" s="774"/>
      <c r="E470" s="774"/>
      <c r="F470" s="775"/>
      <c r="G470" s="153" t="s">
        <v>2177</v>
      </c>
      <c r="H470" s="333" t="s">
        <v>2124</v>
      </c>
      <c r="I470" s="737"/>
      <c r="J470" s="195" t="s">
        <v>1454</v>
      </c>
      <c r="K470" s="310">
        <v>3</v>
      </c>
      <c r="L470" s="390">
        <f>E$466*M470</f>
        <v>1680</v>
      </c>
      <c r="M470" s="345">
        <v>14</v>
      </c>
      <c r="Q470"/>
      <c r="R470"/>
      <c r="S470"/>
      <c r="T470"/>
      <c r="U470"/>
    </row>
    <row r="471" spans="2:29" ht="26" hidden="1" customHeight="1" outlineLevel="1" thickBot="1">
      <c r="B471" s="992" t="s">
        <v>1990</v>
      </c>
      <c r="C471" s="993"/>
      <c r="D471" s="993"/>
      <c r="E471" s="993"/>
      <c r="F471" s="994"/>
      <c r="G471" s="153" t="s">
        <v>2192</v>
      </c>
      <c r="H471" s="333" t="s">
        <v>2123</v>
      </c>
      <c r="I471" s="975"/>
      <c r="J471" s="195" t="s">
        <v>2113</v>
      </c>
      <c r="K471" s="310">
        <v>3</v>
      </c>
      <c r="L471" s="390">
        <f>E$466*M471</f>
        <v>720</v>
      </c>
      <c r="M471" s="335">
        <v>6</v>
      </c>
      <c r="Q471"/>
      <c r="R471"/>
      <c r="S471"/>
      <c r="T471"/>
      <c r="U471"/>
    </row>
    <row r="472" spans="2:29" ht="15" customHeight="1" collapsed="1" thickBot="1">
      <c r="B472" s="163" t="str">
        <f>$B$29</f>
        <v>International Initiative for Sustainable Built Environment</v>
      </c>
      <c r="C472" s="163"/>
      <c r="D472" s="163"/>
      <c r="E472" s="163"/>
      <c r="F472" s="163"/>
      <c r="G472" s="165"/>
      <c r="H472" s="12"/>
      <c r="I472" s="165"/>
      <c r="J472" s="12"/>
      <c r="K472" s="12"/>
      <c r="L472" s="12"/>
      <c r="M472" s="12"/>
    </row>
    <row r="473" spans="2:29" s="4" customFormat="1" ht="30" customHeight="1" thickBot="1">
      <c r="B473" s="765" t="str">
        <f>Settings!$B$9</f>
        <v>Damage Assessments for Sustainable Reconstruction in Ukraine</v>
      </c>
      <c r="C473" s="766"/>
      <c r="D473" s="766"/>
      <c r="E473" s="766"/>
      <c r="F473" s="766"/>
      <c r="G473" s="766"/>
      <c r="H473" s="966"/>
      <c r="I473" s="935" t="str">
        <f>I$2</f>
        <v>Irpin Urban Area</v>
      </c>
      <c r="J473" s="936"/>
      <c r="K473" s="937"/>
      <c r="L473" s="173" t="str">
        <f>L$2</f>
        <v>27Jan23</v>
      </c>
      <c r="M473" s="157">
        <v>23</v>
      </c>
      <c r="N473"/>
      <c r="O473"/>
      <c r="P473"/>
      <c r="Q473" s="2"/>
      <c r="S473" s="10"/>
      <c r="V473"/>
      <c r="W473"/>
      <c r="X473"/>
      <c r="Y473"/>
      <c r="Z473"/>
      <c r="AA473"/>
      <c r="AB473"/>
      <c r="AC473"/>
    </row>
    <row r="474" spans="2:29" s="4" customFormat="1" ht="27" customHeight="1">
      <c r="B474" s="938" t="str">
        <f>Languages!$C$317&amp;" 1"</f>
        <v>Industrial Facilities 1</v>
      </c>
      <c r="C474" s="939"/>
      <c r="D474" s="787" t="str">
        <f>Languages!$N$176</f>
        <v>Information on main asset &amp; sub-assets</v>
      </c>
      <c r="E474" s="788" t="str">
        <f>Languages!$I$188</f>
        <v>Area and/or quantity assessed</v>
      </c>
      <c r="F474" s="789"/>
      <c r="G474" s="792" t="str">
        <f>Languages!$M$194</f>
        <v>Enter info on type and area / quantity of assets, type and extent of damage.</v>
      </c>
      <c r="H474" s="809"/>
      <c r="I474" s="796" t="s">
        <v>2118</v>
      </c>
      <c r="J474" s="798" t="str">
        <f>Languages!$K$177</f>
        <v>Approx. repair costs, priority 4 &amp; 5 assets, m. Euro</v>
      </c>
      <c r="K474" s="799"/>
      <c r="L474" s="389">
        <f>IF(K478&gt;3,L478)+IF(K484&gt;3,L484)+IF(K490&gt;3,L490)</f>
        <v>0.26400000000000001</v>
      </c>
      <c r="M474" s="259" t="s">
        <v>1966</v>
      </c>
      <c r="N474"/>
      <c r="O474"/>
      <c r="P474"/>
      <c r="Q474" s="2"/>
      <c r="R474"/>
      <c r="S474"/>
      <c r="V474"/>
      <c r="W474"/>
      <c r="X474"/>
      <c r="Y474"/>
      <c r="Z474"/>
      <c r="AA474"/>
      <c r="AB474"/>
      <c r="AC474"/>
    </row>
    <row r="475" spans="2:29" ht="27" customHeight="1">
      <c r="B475" s="940"/>
      <c r="C475" s="941"/>
      <c r="D475" s="768"/>
      <c r="E475" s="790"/>
      <c r="F475" s="791"/>
      <c r="G475" s="794"/>
      <c r="H475" s="810"/>
      <c r="I475" s="797"/>
      <c r="J475" s="852" t="str">
        <f>Languages!$K$176</f>
        <v>Approx. total repair costs, m. Euro</v>
      </c>
      <c r="K475" s="853"/>
      <c r="L475" s="264">
        <f>(L478+L484+L490)</f>
        <v>0.26400000000000001</v>
      </c>
      <c r="M475" s="260" t="s">
        <v>1966</v>
      </c>
      <c r="O475"/>
    </row>
    <row r="476" spans="2:29" ht="20" customHeight="1">
      <c r="B476" s="940"/>
      <c r="C476" s="941"/>
      <c r="D476" s="768"/>
      <c r="E476" s="802" t="s">
        <v>1546</v>
      </c>
      <c r="F476" s="804" t="str">
        <f>Languages!$N$178</f>
        <v>Unit type</v>
      </c>
      <c r="G476" s="769" t="s">
        <v>2122</v>
      </c>
      <c r="H476" s="769" t="s">
        <v>2132</v>
      </c>
      <c r="I476" s="331" t="s">
        <v>2117</v>
      </c>
      <c r="J476" s="771" t="str">
        <f>Languages!$K$178</f>
        <v>Actions</v>
      </c>
      <c r="K476" s="772"/>
      <c r="L476" s="960" t="str">
        <f>Languages!$M$176</f>
        <v>Est. repair cost</v>
      </c>
      <c r="M476" s="961"/>
      <c r="O476"/>
    </row>
    <row r="477" spans="2:29" ht="27" customHeight="1" thickBot="1">
      <c r="B477" s="940"/>
      <c r="C477" s="941"/>
      <c r="D477" s="768"/>
      <c r="E477" s="803"/>
      <c r="F477" s="805"/>
      <c r="G477" s="770"/>
      <c r="H477" s="770"/>
      <c r="I477" s="330" t="str">
        <f>Languages!$E$190</f>
        <v>Social Impact level</v>
      </c>
      <c r="J477" s="492" t="str">
        <f>Languages!$K$185</f>
        <v>Action required</v>
      </c>
      <c r="K477" s="504" t="str">
        <f>Languages!$G$193</f>
        <v>Priority 
1 - 5</v>
      </c>
      <c r="L477" s="493" t="str">
        <f>Languages!$M$177</f>
        <v>Total m. Euro</v>
      </c>
      <c r="M477" s="494" t="str">
        <f>Languages!$M$178&amp;" per m2"</f>
        <v>Est. Euro per m2</v>
      </c>
      <c r="O477"/>
    </row>
    <row r="478" spans="2:29" ht="24" customHeight="1">
      <c r="B478" s="917" t="str">
        <f>Languages!C$318&amp;", Small"</f>
        <v>Warehouse facility, Small</v>
      </c>
      <c r="C478" s="918"/>
      <c r="D478" s="579" t="s">
        <v>2178</v>
      </c>
      <c r="E478" s="933">
        <v>1</v>
      </c>
      <c r="F478" s="934"/>
      <c r="G478" s="964" t="str">
        <f>G$13</f>
        <v>Whole Asset or Building</v>
      </c>
      <c r="H478" s="967" t="s">
        <v>2124</v>
      </c>
      <c r="I478" s="501" t="s">
        <v>2103</v>
      </c>
      <c r="J478" s="927" t="s">
        <v>2212</v>
      </c>
      <c r="K478" s="929">
        <f>SUM(K481:K483)/3</f>
        <v>3.6666666666666665</v>
      </c>
      <c r="L478" s="947">
        <f>SUM(L481:L483)/1000000</f>
        <v>1.2E-2</v>
      </c>
      <c r="M478" s="962" t="str">
        <f>M$13</f>
        <v>million Euro</v>
      </c>
      <c r="Q478"/>
      <c r="R478"/>
      <c r="S478"/>
      <c r="T478"/>
      <c r="U478"/>
    </row>
    <row r="479" spans="2:29" ht="24" customHeight="1" thickBot="1">
      <c r="B479" s="919"/>
      <c r="C479" s="920"/>
      <c r="D479" s="550" t="s">
        <v>1555</v>
      </c>
      <c r="E479" s="944">
        <f>E478*E480</f>
        <v>2000</v>
      </c>
      <c r="F479" s="932"/>
      <c r="G479" s="965"/>
      <c r="H479" s="968"/>
      <c r="I479" s="538" t="s">
        <v>2115</v>
      </c>
      <c r="J479" s="928"/>
      <c r="K479" s="930"/>
      <c r="L479" s="948"/>
      <c r="M479" s="963"/>
      <c r="Q479"/>
      <c r="R479"/>
      <c r="S479"/>
      <c r="T479"/>
      <c r="U479"/>
    </row>
    <row r="480" spans="2:29" ht="25" hidden="1" customHeight="1" outlineLevel="1">
      <c r="B480" s="915"/>
      <c r="C480" s="916"/>
      <c r="D480" s="507" t="s">
        <v>1554</v>
      </c>
      <c r="E480" s="337">
        <v>2000</v>
      </c>
      <c r="F480" s="171" t="s">
        <v>1528</v>
      </c>
      <c r="G480" s="461" t="str">
        <f>G$15</f>
        <v>Components</v>
      </c>
      <c r="H480" s="330" t="s">
        <v>2250</v>
      </c>
      <c r="I480" s="497" t="s">
        <v>2141</v>
      </c>
      <c r="J480" s="351" t="str">
        <f>Languages!$K$185</f>
        <v>Action required</v>
      </c>
      <c r="K480" s="362"/>
      <c r="L480" s="498" t="s">
        <v>2144</v>
      </c>
      <c r="M480" s="384" t="s">
        <v>2143</v>
      </c>
      <c r="Q480"/>
      <c r="R480"/>
      <c r="S480"/>
      <c r="T480"/>
      <c r="U480"/>
    </row>
    <row r="481" spans="2:21" ht="25" hidden="1" customHeight="1" outlineLevel="1">
      <c r="B481" s="781"/>
      <c r="C481" s="782"/>
      <c r="D481" s="779"/>
      <c r="E481" s="779"/>
      <c r="F481" s="780"/>
      <c r="G481" s="238" t="s">
        <v>1543</v>
      </c>
      <c r="H481" s="333" t="s">
        <v>2124</v>
      </c>
      <c r="I481" s="409"/>
      <c r="J481" s="308" t="s">
        <v>1454</v>
      </c>
      <c r="K481" s="310">
        <v>4</v>
      </c>
      <c r="L481" s="390">
        <f>E$480*M481</f>
        <v>2000</v>
      </c>
      <c r="M481" s="345">
        <v>1</v>
      </c>
      <c r="Q481"/>
      <c r="R481"/>
      <c r="S481"/>
      <c r="T481"/>
      <c r="U481"/>
    </row>
    <row r="482" spans="2:21" ht="25" hidden="1" customHeight="1" outlineLevel="1">
      <c r="B482" s="953" t="s">
        <v>2185</v>
      </c>
      <c r="C482" s="954"/>
      <c r="D482" s="954"/>
      <c r="E482" s="954"/>
      <c r="F482" s="955"/>
      <c r="G482" s="238" t="s">
        <v>1946</v>
      </c>
      <c r="H482" s="195" t="s">
        <v>2125</v>
      </c>
      <c r="I482" s="324"/>
      <c r="J482" s="413" t="s">
        <v>1448</v>
      </c>
      <c r="K482" s="427">
        <v>4</v>
      </c>
      <c r="L482" s="403">
        <v>8000</v>
      </c>
      <c r="M482" s="432"/>
      <c r="Q482"/>
      <c r="R482"/>
      <c r="S482"/>
      <c r="T482"/>
      <c r="U482"/>
    </row>
    <row r="483" spans="2:21" ht="25" hidden="1" customHeight="1" outlineLevel="1" thickBot="1">
      <c r="B483" s="781"/>
      <c r="C483" s="782"/>
      <c r="D483" s="782"/>
      <c r="E483" s="782"/>
      <c r="F483" s="783"/>
      <c r="G483" s="458" t="s">
        <v>1540</v>
      </c>
      <c r="H483" s="513" t="s">
        <v>2124</v>
      </c>
      <c r="I483" s="324"/>
      <c r="J483" s="385"/>
      <c r="K483" s="265">
        <v>3</v>
      </c>
      <c r="L483" s="502">
        <f>E$480*M483</f>
        <v>2000</v>
      </c>
      <c r="M483" s="356">
        <v>1</v>
      </c>
      <c r="Q483"/>
      <c r="R483"/>
      <c r="S483"/>
      <c r="T483"/>
      <c r="U483"/>
    </row>
    <row r="484" spans="2:21" ht="24" customHeight="1" collapsed="1">
      <c r="B484" s="917" t="str">
        <f>Languages!C$318&amp;", Large"</f>
        <v>Warehouse facility, Large</v>
      </c>
      <c r="C484" s="918"/>
      <c r="D484" s="579" t="s">
        <v>2178</v>
      </c>
      <c r="E484" s="933">
        <v>1</v>
      </c>
      <c r="F484" s="934"/>
      <c r="G484" s="964" t="str">
        <f>G$13</f>
        <v>Whole Asset or Building</v>
      </c>
      <c r="H484" s="967" t="s">
        <v>2124</v>
      </c>
      <c r="I484" s="501" t="s">
        <v>2103</v>
      </c>
      <c r="J484" s="927" t="s">
        <v>2212</v>
      </c>
      <c r="K484" s="929">
        <f>SUM(K487:K489)/3</f>
        <v>3.6666666666666665</v>
      </c>
      <c r="L484" s="947">
        <f>SUM(L487:L489)/1000000</f>
        <v>0.02</v>
      </c>
      <c r="M484" s="962" t="str">
        <f>M$13</f>
        <v>million Euro</v>
      </c>
      <c r="Q484"/>
      <c r="R484"/>
      <c r="S484"/>
      <c r="T484"/>
      <c r="U484"/>
    </row>
    <row r="485" spans="2:21" ht="24" customHeight="1" thickBot="1">
      <c r="B485" s="919"/>
      <c r="C485" s="920"/>
      <c r="D485" s="550" t="s">
        <v>1555</v>
      </c>
      <c r="E485" s="944">
        <f>E484*E486</f>
        <v>20000</v>
      </c>
      <c r="F485" s="932"/>
      <c r="G485" s="965"/>
      <c r="H485" s="968"/>
      <c r="I485" s="538" t="s">
        <v>2115</v>
      </c>
      <c r="J485" s="928"/>
      <c r="K485" s="930"/>
      <c r="L485" s="948"/>
      <c r="M485" s="963"/>
      <c r="Q485"/>
      <c r="R485"/>
      <c r="S485"/>
      <c r="T485"/>
      <c r="U485"/>
    </row>
    <row r="486" spans="2:21" ht="25" hidden="1" customHeight="1" outlineLevel="1">
      <c r="B486" s="915"/>
      <c r="C486" s="916"/>
      <c r="D486" s="507" t="s">
        <v>1554</v>
      </c>
      <c r="E486" s="337">
        <v>20000</v>
      </c>
      <c r="F486" s="171" t="s">
        <v>1528</v>
      </c>
      <c r="G486" s="461" t="str">
        <f>G$15</f>
        <v>Components</v>
      </c>
      <c r="H486" s="330" t="s">
        <v>2250</v>
      </c>
      <c r="I486" s="497" t="s">
        <v>2141</v>
      </c>
      <c r="J486" s="351" t="str">
        <f>Languages!$K$185</f>
        <v>Action required</v>
      </c>
      <c r="K486" s="362"/>
      <c r="L486" s="498" t="s">
        <v>2144</v>
      </c>
      <c r="M486" s="384" t="s">
        <v>2143</v>
      </c>
      <c r="Q486"/>
      <c r="R486"/>
      <c r="S486"/>
      <c r="T486"/>
      <c r="U486"/>
    </row>
    <row r="487" spans="2:21" ht="24" hidden="1" customHeight="1" outlineLevel="1">
      <c r="B487" s="781"/>
      <c r="C487" s="782"/>
      <c r="D487" s="779"/>
      <c r="E487" s="779"/>
      <c r="F487" s="780"/>
      <c r="G487" s="238" t="s">
        <v>1543</v>
      </c>
      <c r="H487" s="333" t="s">
        <v>2124</v>
      </c>
      <c r="I487" s="409"/>
      <c r="J487" s="308" t="s">
        <v>1454</v>
      </c>
      <c r="K487" s="310">
        <v>4</v>
      </c>
      <c r="L487" s="390">
        <f>E$480*M487</f>
        <v>2000</v>
      </c>
      <c r="M487" s="345">
        <v>1</v>
      </c>
      <c r="Q487"/>
      <c r="R487"/>
      <c r="S487"/>
      <c r="T487"/>
      <c r="U487"/>
    </row>
    <row r="488" spans="2:21" ht="24" hidden="1" customHeight="1" outlineLevel="1">
      <c r="B488" s="953" t="s">
        <v>2255</v>
      </c>
      <c r="C488" s="954"/>
      <c r="D488" s="954"/>
      <c r="E488" s="954"/>
      <c r="F488" s="955"/>
      <c r="G488" s="238" t="s">
        <v>1946</v>
      </c>
      <c r="H488" s="195" t="s">
        <v>2125</v>
      </c>
      <c r="I488" s="324"/>
      <c r="J488" s="413" t="s">
        <v>1448</v>
      </c>
      <c r="K488" s="427">
        <v>4</v>
      </c>
      <c r="L488" s="403">
        <v>16000</v>
      </c>
      <c r="M488" s="432"/>
      <c r="Q488"/>
      <c r="R488"/>
      <c r="S488"/>
      <c r="T488"/>
      <c r="U488"/>
    </row>
    <row r="489" spans="2:21" ht="24" hidden="1" customHeight="1" outlineLevel="1" thickBot="1">
      <c r="B489" s="781"/>
      <c r="C489" s="782"/>
      <c r="D489" s="782"/>
      <c r="E489" s="782"/>
      <c r="F489" s="783"/>
      <c r="G489" s="458" t="s">
        <v>1540</v>
      </c>
      <c r="H489" s="513" t="s">
        <v>2124</v>
      </c>
      <c r="I489" s="324"/>
      <c r="J489" s="385"/>
      <c r="K489" s="265">
        <v>3</v>
      </c>
      <c r="L489" s="502">
        <f>E$480*M489</f>
        <v>2000</v>
      </c>
      <c r="M489" s="356">
        <v>1</v>
      </c>
      <c r="Q489"/>
      <c r="R489"/>
      <c r="S489"/>
      <c r="T489"/>
      <c r="U489"/>
    </row>
    <row r="490" spans="2:21" ht="24" customHeight="1" collapsed="1">
      <c r="B490" s="917" t="str">
        <f>Languages!C$320</f>
        <v>Clean manufacturing</v>
      </c>
      <c r="C490" s="918"/>
      <c r="D490" s="579" t="s">
        <v>2178</v>
      </c>
      <c r="E490" s="933">
        <v>1</v>
      </c>
      <c r="F490" s="934"/>
      <c r="G490" s="964" t="str">
        <f>G$13</f>
        <v>Whole Asset or Building</v>
      </c>
      <c r="H490" s="967" t="s">
        <v>2124</v>
      </c>
      <c r="I490" s="501" t="s">
        <v>2103</v>
      </c>
      <c r="J490" s="927" t="s">
        <v>2212</v>
      </c>
      <c r="K490" s="929">
        <f>SUM(K493:K495)/3</f>
        <v>3.3333333333333335</v>
      </c>
      <c r="L490" s="947">
        <f>SUM(L493:L495)/1000000</f>
        <v>0.23200000000000001</v>
      </c>
      <c r="M490" s="962" t="str">
        <f>M$13</f>
        <v>million Euro</v>
      </c>
      <c r="Q490"/>
      <c r="R490"/>
      <c r="S490"/>
      <c r="T490"/>
      <c r="U490"/>
    </row>
    <row r="491" spans="2:21" ht="24" customHeight="1" thickBot="1">
      <c r="B491" s="919"/>
      <c r="C491" s="920"/>
      <c r="D491" s="550" t="s">
        <v>1555</v>
      </c>
      <c r="E491" s="944">
        <f>E490*E492</f>
        <v>33000</v>
      </c>
      <c r="F491" s="932"/>
      <c r="G491" s="965"/>
      <c r="H491" s="968"/>
      <c r="I491" s="538" t="s">
        <v>2115</v>
      </c>
      <c r="J491" s="928"/>
      <c r="K491" s="930"/>
      <c r="L491" s="948"/>
      <c r="M491" s="963"/>
      <c r="Q491"/>
      <c r="R491"/>
      <c r="S491"/>
      <c r="T491"/>
      <c r="U491"/>
    </row>
    <row r="492" spans="2:21" ht="25" hidden="1" customHeight="1" outlineLevel="1">
      <c r="B492" s="915"/>
      <c r="C492" s="916"/>
      <c r="D492" s="507" t="s">
        <v>1554</v>
      </c>
      <c r="E492" s="337">
        <v>33000</v>
      </c>
      <c r="F492" s="171" t="s">
        <v>1528</v>
      </c>
      <c r="G492" s="461" t="str">
        <f>G$15</f>
        <v>Components</v>
      </c>
      <c r="H492" s="330" t="s">
        <v>2250</v>
      </c>
      <c r="I492" s="497" t="s">
        <v>2141</v>
      </c>
      <c r="J492" s="351" t="str">
        <f>Languages!$K$185</f>
        <v>Action required</v>
      </c>
      <c r="K492" s="362"/>
      <c r="L492" s="498" t="s">
        <v>2144</v>
      </c>
      <c r="M492" s="384" t="s">
        <v>2143</v>
      </c>
      <c r="Q492"/>
      <c r="R492"/>
      <c r="S492"/>
      <c r="T492"/>
      <c r="U492"/>
    </row>
    <row r="493" spans="2:21" ht="24" hidden="1" customHeight="1" outlineLevel="1">
      <c r="B493" s="278"/>
      <c r="C493" s="279"/>
      <c r="D493" s="277"/>
      <c r="E493" s="277"/>
      <c r="F493" s="319"/>
      <c r="G493" s="238" t="s">
        <v>1543</v>
      </c>
      <c r="H493" s="333" t="s">
        <v>2124</v>
      </c>
      <c r="I493" s="409"/>
      <c r="J493" s="195" t="s">
        <v>1473</v>
      </c>
      <c r="K493" s="266">
        <v>3</v>
      </c>
      <c r="L493" s="390">
        <f>E$486*M493</f>
        <v>120000</v>
      </c>
      <c r="M493" s="345">
        <v>6</v>
      </c>
      <c r="Q493"/>
      <c r="R493"/>
      <c r="S493"/>
      <c r="T493"/>
      <c r="U493"/>
    </row>
    <row r="494" spans="2:21" ht="24" hidden="1" customHeight="1" outlineLevel="1">
      <c r="B494" s="953" t="s">
        <v>2185</v>
      </c>
      <c r="C494" s="954"/>
      <c r="D494" s="954"/>
      <c r="E494" s="954"/>
      <c r="F494" s="955"/>
      <c r="G494" s="238" t="s">
        <v>1946</v>
      </c>
      <c r="H494" s="195" t="s">
        <v>2125</v>
      </c>
      <c r="I494" s="324"/>
      <c r="J494" s="413" t="s">
        <v>1448</v>
      </c>
      <c r="K494" s="427">
        <v>4</v>
      </c>
      <c r="L494" s="403">
        <v>12000</v>
      </c>
      <c r="M494" s="432"/>
      <c r="Q494"/>
      <c r="R494"/>
      <c r="S494"/>
      <c r="T494"/>
      <c r="U494"/>
    </row>
    <row r="495" spans="2:21" ht="24" hidden="1" customHeight="1" outlineLevel="1" thickBot="1">
      <c r="B495" s="394"/>
      <c r="C495" s="395"/>
      <c r="D495" s="395"/>
      <c r="E495" s="395"/>
      <c r="F495" s="321"/>
      <c r="G495" s="238" t="s">
        <v>2037</v>
      </c>
      <c r="H495" s="333" t="s">
        <v>2124</v>
      </c>
      <c r="I495" s="410"/>
      <c r="J495" s="268"/>
      <c r="K495" s="266">
        <v>3</v>
      </c>
      <c r="L495" s="390">
        <f>E$486*M495</f>
        <v>100000</v>
      </c>
      <c r="M495" s="345">
        <v>5</v>
      </c>
      <c r="Q495"/>
      <c r="R495"/>
      <c r="S495"/>
      <c r="T495"/>
      <c r="U495"/>
    </row>
    <row r="496" spans="2:21" ht="15" customHeight="1" collapsed="1" thickBot="1">
      <c r="B496" s="163" t="str">
        <f>$B$29</f>
        <v>International Initiative for Sustainable Built Environment</v>
      </c>
      <c r="C496" s="163"/>
      <c r="D496" s="163"/>
      <c r="E496" s="163"/>
      <c r="F496" s="163"/>
      <c r="G496" s="165"/>
      <c r="H496" s="12"/>
      <c r="I496" s="165"/>
      <c r="J496" s="12"/>
      <c r="K496" s="12"/>
      <c r="L496" s="12"/>
      <c r="M496" s="12"/>
    </row>
    <row r="497" spans="2:29" s="4" customFormat="1" ht="30" customHeight="1" thickBot="1">
      <c r="B497" s="765" t="str">
        <f>Settings!$B$9</f>
        <v>Damage Assessments for Sustainable Reconstruction in Ukraine</v>
      </c>
      <c r="C497" s="766"/>
      <c r="D497" s="766"/>
      <c r="E497" s="766"/>
      <c r="F497" s="766"/>
      <c r="G497" s="766"/>
      <c r="H497" s="966"/>
      <c r="I497" s="935" t="str">
        <f>I$2</f>
        <v>Irpin Urban Area</v>
      </c>
      <c r="J497" s="936"/>
      <c r="K497" s="937"/>
      <c r="L497" s="173" t="str">
        <f>L$2</f>
        <v>27Jan23</v>
      </c>
      <c r="M497" s="157">
        <v>24</v>
      </c>
      <c r="N497"/>
      <c r="O497"/>
      <c r="P497"/>
      <c r="Q497" s="2"/>
      <c r="S497" s="10"/>
      <c r="V497"/>
      <c r="W497"/>
      <c r="X497"/>
      <c r="Y497"/>
      <c r="Z497"/>
      <c r="AA497"/>
      <c r="AB497"/>
      <c r="AC497"/>
    </row>
    <row r="498" spans="2:29" s="4" customFormat="1" ht="27" customHeight="1">
      <c r="B498" s="938" t="str">
        <f>Languages!$C$317&amp;" 2"</f>
        <v>Industrial Facilities 2</v>
      </c>
      <c r="C498" s="939"/>
      <c r="D498" s="787" t="str">
        <f>Languages!$N$176</f>
        <v>Information on main asset &amp; sub-assets</v>
      </c>
      <c r="E498" s="788" t="str">
        <f>Languages!$I$188</f>
        <v>Area and/or quantity assessed</v>
      </c>
      <c r="F498" s="789"/>
      <c r="G498" s="792" t="str">
        <f>Languages!$M$194</f>
        <v>Enter info on type and area / quantity of assets, type and extent of damage.</v>
      </c>
      <c r="H498" s="809"/>
      <c r="I498" s="796" t="s">
        <v>2118</v>
      </c>
      <c r="J498" s="798" t="str">
        <f>Languages!$K$177</f>
        <v>Approx. repair costs, priority 4 &amp; 5 assets, m. Euro</v>
      </c>
      <c r="K498" s="799"/>
      <c r="L498" s="389">
        <f>IF(K502&gt;3,L502)+IF(K508&gt;3,L508)+IF(K514&gt;3,L514)</f>
        <v>0.108</v>
      </c>
      <c r="M498" s="259" t="s">
        <v>1966</v>
      </c>
      <c r="N498"/>
      <c r="O498"/>
      <c r="P498"/>
      <c r="Q498" s="2"/>
      <c r="R498"/>
      <c r="S498"/>
      <c r="V498"/>
      <c r="W498"/>
      <c r="X498"/>
      <c r="Y498"/>
      <c r="Z498"/>
      <c r="AA498"/>
      <c r="AB498"/>
      <c r="AC498"/>
    </row>
    <row r="499" spans="2:29" ht="27" customHeight="1">
      <c r="B499" s="940"/>
      <c r="C499" s="941"/>
      <c r="D499" s="768"/>
      <c r="E499" s="790"/>
      <c r="F499" s="791"/>
      <c r="G499" s="794"/>
      <c r="H499" s="810"/>
      <c r="I499" s="797"/>
      <c r="J499" s="852" t="str">
        <f>Languages!$K$176</f>
        <v>Approx. total repair costs, m. Euro</v>
      </c>
      <c r="K499" s="853"/>
      <c r="L499" s="264">
        <f>(L502+L508+L514)</f>
        <v>0.28499999999999998</v>
      </c>
      <c r="M499" s="260" t="s">
        <v>1966</v>
      </c>
      <c r="O499"/>
    </row>
    <row r="500" spans="2:29" ht="22" customHeight="1">
      <c r="B500" s="940"/>
      <c r="C500" s="941"/>
      <c r="D500" s="768"/>
      <c r="E500" s="802" t="s">
        <v>1546</v>
      </c>
      <c r="F500" s="804" t="str">
        <f>Languages!$N$178</f>
        <v>Unit type</v>
      </c>
      <c r="G500" s="769" t="s">
        <v>2122</v>
      </c>
      <c r="H500" s="769" t="s">
        <v>2132</v>
      </c>
      <c r="I500" s="331" t="s">
        <v>2117</v>
      </c>
      <c r="J500" s="771" t="str">
        <f>Languages!$K$178</f>
        <v>Actions</v>
      </c>
      <c r="K500" s="772"/>
      <c r="L500" s="960" t="str">
        <f>Languages!$M$176</f>
        <v>Est. repair cost</v>
      </c>
      <c r="M500" s="961"/>
      <c r="O500"/>
    </row>
    <row r="501" spans="2:29" ht="28" customHeight="1" thickBot="1">
      <c r="B501" s="940"/>
      <c r="C501" s="941"/>
      <c r="D501" s="768"/>
      <c r="E501" s="803"/>
      <c r="F501" s="805"/>
      <c r="G501" s="770"/>
      <c r="H501" s="770"/>
      <c r="I501" s="330" t="str">
        <f>Languages!$E$190</f>
        <v>Social Impact level</v>
      </c>
      <c r="J501" s="492" t="str">
        <f>Languages!$K$185</f>
        <v>Action required</v>
      </c>
      <c r="K501" s="504" t="str">
        <f>Languages!$G$193</f>
        <v>Priority 
1 - 5</v>
      </c>
      <c r="L501" s="493" t="str">
        <f>Languages!$M$177</f>
        <v>Total m. Euro</v>
      </c>
      <c r="M501" s="494" t="str">
        <f>Languages!$M$178&amp;" per m2"</f>
        <v>Est. Euro per m2</v>
      </c>
      <c r="O501"/>
    </row>
    <row r="502" spans="2:29" ht="24" customHeight="1">
      <c r="B502" s="917" t="str">
        <f>Languages!C$321</f>
        <v>Light manufacturing</v>
      </c>
      <c r="C502" s="918"/>
      <c r="D502" s="579" t="s">
        <v>2178</v>
      </c>
      <c r="E502" s="933">
        <v>1</v>
      </c>
      <c r="F502" s="934"/>
      <c r="G502" s="964" t="str">
        <f>G$13</f>
        <v>Whole Asset or Building</v>
      </c>
      <c r="H502" s="967" t="s">
        <v>2124</v>
      </c>
      <c r="I502" s="501" t="s">
        <v>2103</v>
      </c>
      <c r="J502" s="969" t="s">
        <v>1449</v>
      </c>
      <c r="K502" s="929">
        <f>SUM(K505:K507)/3</f>
        <v>3</v>
      </c>
      <c r="L502" s="947">
        <f>SUM(L505:L507)/1000000</f>
        <v>0.17699999999999999</v>
      </c>
      <c r="M502" s="962" t="str">
        <f>M$13</f>
        <v>million Euro</v>
      </c>
      <c r="Q502"/>
      <c r="R502"/>
      <c r="S502"/>
      <c r="T502"/>
      <c r="U502"/>
    </row>
    <row r="503" spans="2:29" ht="24" customHeight="1" thickBot="1">
      <c r="B503" s="919"/>
      <c r="C503" s="920"/>
      <c r="D503" s="550" t="s">
        <v>1555</v>
      </c>
      <c r="E503" s="944">
        <f>E502*E504</f>
        <v>16000</v>
      </c>
      <c r="F503" s="932"/>
      <c r="G503" s="965"/>
      <c r="H503" s="968"/>
      <c r="I503" s="538" t="s">
        <v>2115</v>
      </c>
      <c r="J503" s="970"/>
      <c r="K503" s="930"/>
      <c r="L503" s="948"/>
      <c r="M503" s="963"/>
      <c r="Q503"/>
      <c r="R503"/>
      <c r="S503"/>
      <c r="T503"/>
      <c r="U503"/>
    </row>
    <row r="504" spans="2:29" ht="25" hidden="1" customHeight="1" outlineLevel="1">
      <c r="B504" s="915"/>
      <c r="C504" s="916"/>
      <c r="D504" s="507" t="s">
        <v>1554</v>
      </c>
      <c r="E504" s="337">
        <v>16000</v>
      </c>
      <c r="F504" s="171" t="s">
        <v>1528</v>
      </c>
      <c r="G504" s="461" t="str">
        <f>G$15</f>
        <v>Components</v>
      </c>
      <c r="H504" s="330" t="s">
        <v>2250</v>
      </c>
      <c r="I504" s="497" t="s">
        <v>2141</v>
      </c>
      <c r="J504" s="351" t="str">
        <f>Languages!$K$185</f>
        <v>Action required</v>
      </c>
      <c r="K504" s="362"/>
      <c r="L504" s="498" t="s">
        <v>2144</v>
      </c>
      <c r="M504" s="384" t="s">
        <v>2143</v>
      </c>
      <c r="Q504"/>
      <c r="R504"/>
      <c r="S504"/>
      <c r="T504"/>
      <c r="U504"/>
    </row>
    <row r="505" spans="2:29" ht="25" hidden="1" customHeight="1" outlineLevel="1">
      <c r="B505" s="278"/>
      <c r="C505" s="279"/>
      <c r="D505" s="277"/>
      <c r="E505" s="277"/>
      <c r="F505" s="319"/>
      <c r="G505" s="238" t="s">
        <v>1543</v>
      </c>
      <c r="H505" s="333" t="s">
        <v>2124</v>
      </c>
      <c r="I505" s="409"/>
      <c r="J505" s="195" t="s">
        <v>2113</v>
      </c>
      <c r="K505" s="167">
        <v>3</v>
      </c>
      <c r="L505" s="390">
        <f>E$492*M505</f>
        <v>66000</v>
      </c>
      <c r="M505" s="345">
        <v>2</v>
      </c>
      <c r="Q505"/>
      <c r="R505"/>
      <c r="S505"/>
      <c r="T505"/>
      <c r="U505"/>
    </row>
    <row r="506" spans="2:29" ht="24" hidden="1" customHeight="1" outlineLevel="1">
      <c r="B506" s="953" t="s">
        <v>2185</v>
      </c>
      <c r="C506" s="954"/>
      <c r="D506" s="954"/>
      <c r="E506" s="954"/>
      <c r="F506" s="955"/>
      <c r="G506" s="238" t="s">
        <v>1946</v>
      </c>
      <c r="H506" s="195" t="s">
        <v>2125</v>
      </c>
      <c r="I506" s="324"/>
      <c r="J506" s="413" t="s">
        <v>1448</v>
      </c>
      <c r="K506" s="427">
        <v>3</v>
      </c>
      <c r="L506" s="403">
        <v>12000</v>
      </c>
      <c r="M506" s="432"/>
      <c r="Q506"/>
      <c r="R506"/>
      <c r="S506"/>
      <c r="T506"/>
      <c r="U506"/>
    </row>
    <row r="507" spans="2:29" ht="25" hidden="1" customHeight="1" outlineLevel="1" thickBot="1">
      <c r="B507" s="278"/>
      <c r="C507" s="279"/>
      <c r="D507" s="279"/>
      <c r="E507" s="279"/>
      <c r="F507" s="320"/>
      <c r="G507" s="458" t="s">
        <v>1540</v>
      </c>
      <c r="H507" s="513" t="s">
        <v>2124</v>
      </c>
      <c r="I507" s="324"/>
      <c r="J507" s="385"/>
      <c r="K507" s="456">
        <v>3</v>
      </c>
      <c r="L507" s="502">
        <f>E$492*M507</f>
        <v>99000</v>
      </c>
      <c r="M507" s="356">
        <v>3</v>
      </c>
      <c r="Q507"/>
      <c r="R507"/>
      <c r="S507"/>
      <c r="T507"/>
      <c r="U507"/>
    </row>
    <row r="508" spans="2:29" ht="24" customHeight="1" collapsed="1">
      <c r="B508" s="917" t="str">
        <f>Languages!C$322</f>
        <v>Heavy manufacturing</v>
      </c>
      <c r="C508" s="918"/>
      <c r="D508" s="579" t="s">
        <v>2178</v>
      </c>
      <c r="E508" s="933">
        <v>1</v>
      </c>
      <c r="F508" s="934"/>
      <c r="G508" s="964" t="str">
        <f>G$13</f>
        <v>Whole Asset or Building</v>
      </c>
      <c r="H508" s="967" t="s">
        <v>2124</v>
      </c>
      <c r="I508" s="501" t="s">
        <v>2103</v>
      </c>
      <c r="J508" s="927" t="s">
        <v>2212</v>
      </c>
      <c r="K508" s="929">
        <f>SUM(K511:K513)/3</f>
        <v>3.3333333333333335</v>
      </c>
      <c r="L508" s="947">
        <f>SUM(L511:L513)/1000000</f>
        <v>0.108</v>
      </c>
      <c r="M508" s="962" t="str">
        <f>M$13</f>
        <v>million Euro</v>
      </c>
      <c r="Q508"/>
      <c r="R508"/>
      <c r="S508"/>
      <c r="T508"/>
      <c r="U508"/>
    </row>
    <row r="509" spans="2:29" ht="24" customHeight="1" thickBot="1">
      <c r="B509" s="919"/>
      <c r="C509" s="920"/>
      <c r="D509" s="550" t="s">
        <v>1555</v>
      </c>
      <c r="E509" s="944">
        <f>E508*E510</f>
        <v>24000</v>
      </c>
      <c r="F509" s="932"/>
      <c r="G509" s="965"/>
      <c r="H509" s="968"/>
      <c r="I509" s="538" t="s">
        <v>2115</v>
      </c>
      <c r="J509" s="928"/>
      <c r="K509" s="930"/>
      <c r="L509" s="948"/>
      <c r="M509" s="963"/>
      <c r="Q509"/>
      <c r="R509"/>
      <c r="S509"/>
      <c r="T509"/>
      <c r="U509"/>
    </row>
    <row r="510" spans="2:29" ht="25" hidden="1" customHeight="1" outlineLevel="1">
      <c r="B510" s="915"/>
      <c r="C510" s="916"/>
      <c r="D510" s="507" t="s">
        <v>1554</v>
      </c>
      <c r="E510" s="337">
        <v>24000</v>
      </c>
      <c r="F510" s="171" t="s">
        <v>1528</v>
      </c>
      <c r="G510" s="461" t="str">
        <f>G$15</f>
        <v>Components</v>
      </c>
      <c r="H510" s="330" t="s">
        <v>2250</v>
      </c>
      <c r="I510" s="497" t="s">
        <v>2141</v>
      </c>
      <c r="J510" s="351" t="str">
        <f>Languages!$K$185</f>
        <v>Action required</v>
      </c>
      <c r="K510" s="362"/>
      <c r="L510" s="498" t="s">
        <v>2144</v>
      </c>
      <c r="M510" s="384" t="s">
        <v>2143</v>
      </c>
      <c r="Q510"/>
      <c r="R510"/>
      <c r="S510"/>
      <c r="T510"/>
      <c r="U510"/>
    </row>
    <row r="511" spans="2:29" ht="25" hidden="1" customHeight="1" outlineLevel="1">
      <c r="B511" s="781"/>
      <c r="C511" s="782"/>
      <c r="D511" s="779"/>
      <c r="E511" s="779"/>
      <c r="F511" s="780"/>
      <c r="G511" s="238" t="s">
        <v>1543</v>
      </c>
      <c r="H511" s="333" t="s">
        <v>2124</v>
      </c>
      <c r="I511" s="736"/>
      <c r="J511" s="308" t="s">
        <v>1454</v>
      </c>
      <c r="K511" s="310">
        <v>4</v>
      </c>
      <c r="L511" s="390">
        <f>E$504*M511</f>
        <v>32000</v>
      </c>
      <c r="M511" s="345">
        <v>2</v>
      </c>
      <c r="Q511"/>
      <c r="R511"/>
      <c r="S511"/>
      <c r="T511"/>
      <c r="U511"/>
    </row>
    <row r="512" spans="2:29" ht="24" hidden="1" customHeight="1" outlineLevel="1">
      <c r="B512" s="781"/>
      <c r="C512" s="782"/>
      <c r="D512" s="782"/>
      <c r="E512" s="782"/>
      <c r="F512" s="783"/>
      <c r="G512" s="238" t="s">
        <v>1946</v>
      </c>
      <c r="H512" s="195" t="s">
        <v>2125</v>
      </c>
      <c r="I512" s="737"/>
      <c r="J512" s="413" t="s">
        <v>1448</v>
      </c>
      <c r="K512" s="310">
        <v>3</v>
      </c>
      <c r="L512" s="403">
        <v>12000</v>
      </c>
      <c r="M512" s="432"/>
      <c r="Q512"/>
      <c r="R512"/>
      <c r="S512"/>
      <c r="T512"/>
      <c r="U512"/>
    </row>
    <row r="513" spans="2:21" ht="25" hidden="1" customHeight="1" outlineLevel="1" thickBot="1">
      <c r="B513" s="781"/>
      <c r="C513" s="782"/>
      <c r="D513" s="782"/>
      <c r="E513" s="782"/>
      <c r="F513" s="783"/>
      <c r="G513" s="458" t="s">
        <v>1540</v>
      </c>
      <c r="H513" s="513" t="s">
        <v>2124</v>
      </c>
      <c r="I513" s="737"/>
      <c r="J513" s="312" t="s">
        <v>1473</v>
      </c>
      <c r="K513" s="309">
        <v>3</v>
      </c>
      <c r="L513" s="502">
        <f>E$504*M513</f>
        <v>64000</v>
      </c>
      <c r="M513" s="356">
        <v>4</v>
      </c>
      <c r="Q513"/>
      <c r="R513"/>
      <c r="S513"/>
      <c r="T513"/>
      <c r="U513"/>
    </row>
    <row r="514" spans="2:21" ht="24" customHeight="1" collapsed="1">
      <c r="B514" s="917" t="s">
        <v>2146</v>
      </c>
      <c r="C514" s="918"/>
      <c r="D514" s="579" t="s">
        <v>2178</v>
      </c>
      <c r="E514" s="933">
        <v>1</v>
      </c>
      <c r="F514" s="934"/>
      <c r="G514" s="964" t="str">
        <f>G$13</f>
        <v>Whole Asset or Building</v>
      </c>
      <c r="H514" s="967" t="s">
        <v>2124</v>
      </c>
      <c r="I514" s="501" t="s">
        <v>2103</v>
      </c>
      <c r="J514" s="927" t="s">
        <v>2212</v>
      </c>
      <c r="K514" s="929">
        <f>SUM(K517:K518)/2</f>
        <v>3</v>
      </c>
      <c r="L514" s="947">
        <f>SUM(L517:L518)/1000000</f>
        <v>0</v>
      </c>
      <c r="M514" s="962" t="str">
        <f>M$13</f>
        <v>million Euro</v>
      </c>
      <c r="Q514"/>
      <c r="R514"/>
      <c r="S514"/>
      <c r="T514"/>
      <c r="U514"/>
    </row>
    <row r="515" spans="2:21" ht="24" customHeight="1" thickBot="1">
      <c r="B515" s="919"/>
      <c r="C515" s="920"/>
      <c r="D515" s="550" t="s">
        <v>1555</v>
      </c>
      <c r="E515" s="944">
        <f>E514*E516</f>
        <v>33000</v>
      </c>
      <c r="F515" s="932"/>
      <c r="G515" s="965"/>
      <c r="H515" s="968"/>
      <c r="I515" s="538" t="s">
        <v>2115</v>
      </c>
      <c r="J515" s="928"/>
      <c r="K515" s="930"/>
      <c r="L515" s="948"/>
      <c r="M515" s="963"/>
      <c r="Q515"/>
      <c r="R515"/>
      <c r="S515"/>
      <c r="T515"/>
      <c r="U515"/>
    </row>
    <row r="516" spans="2:21" ht="25" hidden="1" customHeight="1" outlineLevel="1">
      <c r="B516" s="915"/>
      <c r="C516" s="916"/>
      <c r="D516" s="507" t="s">
        <v>1554</v>
      </c>
      <c r="E516" s="337">
        <v>33000</v>
      </c>
      <c r="F516" s="171" t="s">
        <v>1528</v>
      </c>
      <c r="G516" s="461" t="str">
        <f>G$15</f>
        <v>Components</v>
      </c>
      <c r="H516" s="330" t="s">
        <v>2250</v>
      </c>
      <c r="I516" s="497" t="s">
        <v>2141</v>
      </c>
      <c r="J516" s="351" t="str">
        <f>Languages!$K$185</f>
        <v>Action required</v>
      </c>
      <c r="K516" s="362"/>
      <c r="L516" s="498" t="s">
        <v>2144</v>
      </c>
      <c r="M516" s="384" t="s">
        <v>2143</v>
      </c>
      <c r="Q516"/>
      <c r="R516"/>
      <c r="S516"/>
      <c r="T516"/>
      <c r="U516"/>
    </row>
    <row r="517" spans="2:21" ht="25" hidden="1" customHeight="1" outlineLevel="1">
      <c r="B517" s="781"/>
      <c r="C517" s="782"/>
      <c r="D517" s="779"/>
      <c r="E517" s="779"/>
      <c r="F517" s="780"/>
      <c r="G517" s="238"/>
      <c r="H517" s="333" t="s">
        <v>2124</v>
      </c>
      <c r="I517" s="736"/>
      <c r="J517" s="195"/>
      <c r="K517" s="310">
        <v>3</v>
      </c>
      <c r="L517" s="390">
        <f>E$516*M517</f>
        <v>0</v>
      </c>
      <c r="M517" s="345">
        <v>0</v>
      </c>
      <c r="Q517"/>
      <c r="R517"/>
      <c r="S517"/>
      <c r="T517"/>
      <c r="U517"/>
    </row>
    <row r="518" spans="2:21" ht="25" hidden="1" customHeight="1" outlineLevel="1" thickBot="1">
      <c r="B518" s="824"/>
      <c r="C518" s="825"/>
      <c r="D518" s="825"/>
      <c r="E518" s="825"/>
      <c r="F518" s="826"/>
      <c r="G518" s="238"/>
      <c r="H518" s="333" t="s">
        <v>2124</v>
      </c>
      <c r="I518" s="975"/>
      <c r="J518" s="195"/>
      <c r="K518" s="168">
        <v>3</v>
      </c>
      <c r="L518" s="390">
        <f>E$516*M518</f>
        <v>0</v>
      </c>
      <c r="M518" s="345">
        <v>0</v>
      </c>
      <c r="Q518"/>
      <c r="R518"/>
      <c r="S518"/>
      <c r="T518"/>
      <c r="U518"/>
    </row>
    <row r="519" spans="2:21" ht="15" customHeight="1" collapsed="1">
      <c r="B519" s="163" t="str">
        <f>$B$29</f>
        <v>International Initiative for Sustainable Built Environment</v>
      </c>
      <c r="C519" s="163"/>
      <c r="D519" s="163"/>
      <c r="E519" s="163"/>
      <c r="F519" s="163"/>
      <c r="G519" s="165"/>
      <c r="H519" s="12"/>
      <c r="I519" s="165"/>
      <c r="J519" s="12"/>
      <c r="K519" s="12"/>
      <c r="L519" s="12"/>
      <c r="M519" s="12"/>
    </row>
    <row r="703" spans="2:29" ht="36" customHeight="1">
      <c r="AC703" s="11" t="s">
        <v>9</v>
      </c>
    </row>
    <row r="704" spans="2:29">
      <c r="B704" s="8"/>
      <c r="C704" s="13"/>
      <c r="D704" s="151"/>
      <c r="E704" s="8"/>
      <c r="F704" s="16"/>
      <c r="G704" s="8"/>
      <c r="H704" s="8"/>
      <c r="I704" s="16"/>
      <c r="J704" s="8"/>
      <c r="K704" s="8"/>
      <c r="L704" s="8"/>
      <c r="M704" s="8"/>
    </row>
    <row r="785" spans="5:13" ht="32" customHeight="1"/>
    <row r="786" spans="5:13">
      <c r="E786"/>
      <c r="F786" s="5"/>
      <c r="G786"/>
      <c r="H786"/>
      <c r="I786" s="5"/>
      <c r="J786"/>
      <c r="K786"/>
      <c r="L786"/>
      <c r="M786"/>
    </row>
    <row r="787" spans="5:13">
      <c r="E787"/>
      <c r="F787" s="5"/>
      <c r="G787"/>
      <c r="H787"/>
      <c r="I787" s="5"/>
      <c r="J787"/>
      <c r="K787"/>
      <c r="L787"/>
      <c r="M787"/>
    </row>
  </sheetData>
  <mergeCells count="1033">
    <mergeCell ref="M508:M509"/>
    <mergeCell ref="E509:F509"/>
    <mergeCell ref="B511:F513"/>
    <mergeCell ref="I511:I513"/>
    <mergeCell ref="B506:F506"/>
    <mergeCell ref="B487:F487"/>
    <mergeCell ref="B489:F489"/>
    <mergeCell ref="I497:K497"/>
    <mergeCell ref="H295:H296"/>
    <mergeCell ref="H304:H305"/>
    <mergeCell ref="H306:H307"/>
    <mergeCell ref="H312:H313"/>
    <mergeCell ref="H318:H319"/>
    <mergeCell ref="H328:H329"/>
    <mergeCell ref="G370:H371"/>
    <mergeCell ref="G328:G329"/>
    <mergeCell ref="H484:H485"/>
    <mergeCell ref="H490:H491"/>
    <mergeCell ref="H500:H501"/>
    <mergeCell ref="H502:H503"/>
    <mergeCell ref="H514:H515"/>
    <mergeCell ref="H21:H22"/>
    <mergeCell ref="E508:F508"/>
    <mergeCell ref="G508:G509"/>
    <mergeCell ref="H508:H509"/>
    <mergeCell ref="H420:H421"/>
    <mergeCell ref="H434:H435"/>
    <mergeCell ref="H442:H443"/>
    <mergeCell ref="H456:H457"/>
    <mergeCell ref="H432:H433"/>
    <mergeCell ref="H454:H455"/>
    <mergeCell ref="H476:H477"/>
    <mergeCell ref="H464:H465"/>
    <mergeCell ref="H478:H479"/>
    <mergeCell ref="H330:H331"/>
    <mergeCell ref="H338:H339"/>
    <mergeCell ref="H351:H352"/>
    <mergeCell ref="H353:H354"/>
    <mergeCell ref="H372:H373"/>
    <mergeCell ref="H11:H12"/>
    <mergeCell ref="H13:H14"/>
    <mergeCell ref="H35:H36"/>
    <mergeCell ref="H43:H44"/>
    <mergeCell ref="H57:H58"/>
    <mergeCell ref="H65:H66"/>
    <mergeCell ref="H80:H81"/>
    <mergeCell ref="H88:H89"/>
    <mergeCell ref="H103:H104"/>
    <mergeCell ref="H111:H112"/>
    <mergeCell ref="B144:H144"/>
    <mergeCell ref="B9:C12"/>
    <mergeCell ref="B13:C14"/>
    <mergeCell ref="B15:C15"/>
    <mergeCell ref="B67:C67"/>
    <mergeCell ref="B128:C128"/>
    <mergeCell ref="H184:H185"/>
    <mergeCell ref="B378:F378"/>
    <mergeCell ref="B379:F379"/>
    <mergeCell ref="B380:F380"/>
    <mergeCell ref="B381:F381"/>
    <mergeCell ref="B383:F383"/>
    <mergeCell ref="B384:F384"/>
    <mergeCell ref="B382:F382"/>
    <mergeCell ref="B385:F385"/>
    <mergeCell ref="B386:F386"/>
    <mergeCell ref="I377:I386"/>
    <mergeCell ref="B400:F400"/>
    <mergeCell ref="H126:H127"/>
    <mergeCell ref="H149:H150"/>
    <mergeCell ref="H147:H148"/>
    <mergeCell ref="H124:H125"/>
    <mergeCell ref="H101:H102"/>
    <mergeCell ref="H78:H79"/>
    <mergeCell ref="H195:H196"/>
    <mergeCell ref="H197:H198"/>
    <mergeCell ref="H218:H219"/>
    <mergeCell ref="H220:H221"/>
    <mergeCell ref="H229:H230"/>
    <mergeCell ref="H241:H242"/>
    <mergeCell ref="H243:H244"/>
    <mergeCell ref="H248:H249"/>
    <mergeCell ref="G216:H217"/>
    <mergeCell ref="H374:H375"/>
    <mergeCell ref="H391:H392"/>
    <mergeCell ref="H393:H394"/>
    <mergeCell ref="H285:H286"/>
    <mergeCell ref="H283:H284"/>
    <mergeCell ref="H290:H291"/>
    <mergeCell ref="B164:F164"/>
    <mergeCell ref="B153:F153"/>
    <mergeCell ref="B154:F154"/>
    <mergeCell ref="B209:F209"/>
    <mergeCell ref="B200:F204"/>
    <mergeCell ref="B211:F211"/>
    <mergeCell ref="B206:F206"/>
    <mergeCell ref="B207:F207"/>
    <mergeCell ref="B208:F208"/>
    <mergeCell ref="B205:F205"/>
    <mergeCell ref="B193:C196"/>
    <mergeCell ref="B160:C160"/>
    <mergeCell ref="E353:F353"/>
    <mergeCell ref="G353:G354"/>
    <mergeCell ref="J353:J354"/>
    <mergeCell ref="K353:K354"/>
    <mergeCell ref="L353:L354"/>
    <mergeCell ref="E354:F354"/>
    <mergeCell ref="B232:F235"/>
    <mergeCell ref="B345:F345"/>
    <mergeCell ref="B346:F346"/>
    <mergeCell ref="B348:H348"/>
    <mergeCell ref="I348:K348"/>
    <mergeCell ref="B349:C352"/>
    <mergeCell ref="D349:D352"/>
    <mergeCell ref="E349:F350"/>
    <mergeCell ref="G349:H350"/>
    <mergeCell ref="I349:I350"/>
    <mergeCell ref="J349:K349"/>
    <mergeCell ref="J350:K350"/>
    <mergeCell ref="E351:E352"/>
    <mergeCell ref="F351:F352"/>
    <mergeCell ref="E174:F174"/>
    <mergeCell ref="B169:C172"/>
    <mergeCell ref="D169:D172"/>
    <mergeCell ref="E169:F170"/>
    <mergeCell ref="G169:H170"/>
    <mergeCell ref="H171:H172"/>
    <mergeCell ref="H173:H174"/>
    <mergeCell ref="I152:I157"/>
    <mergeCell ref="B24:F27"/>
    <mergeCell ref="B60:F64"/>
    <mergeCell ref="B70:F70"/>
    <mergeCell ref="B187:F187"/>
    <mergeCell ref="B188:F188"/>
    <mergeCell ref="B189:F189"/>
    <mergeCell ref="B190:F190"/>
    <mergeCell ref="B181:F181"/>
    <mergeCell ref="B180:F180"/>
    <mergeCell ref="B176:F176"/>
    <mergeCell ref="B179:F179"/>
    <mergeCell ref="B177:F177"/>
    <mergeCell ref="B178:F178"/>
    <mergeCell ref="B156:F156"/>
    <mergeCell ref="B157:F157"/>
    <mergeCell ref="B161:F161"/>
    <mergeCell ref="B165:F165"/>
    <mergeCell ref="B166:F166"/>
    <mergeCell ref="B168:H168"/>
    <mergeCell ref="B182:F182"/>
    <mergeCell ref="B46:F46"/>
    <mergeCell ref="B47:F47"/>
    <mergeCell ref="B152:F152"/>
    <mergeCell ref="B155:F155"/>
    <mergeCell ref="B83:F83"/>
    <mergeCell ref="B84:F84"/>
    <mergeCell ref="B85:F85"/>
    <mergeCell ref="B68:F68"/>
    <mergeCell ref="B69:F69"/>
    <mergeCell ref="B71:F71"/>
    <mergeCell ref="B72:F72"/>
    <mergeCell ref="B87:F87"/>
    <mergeCell ref="B82:C82"/>
    <mergeCell ref="B90:C90"/>
    <mergeCell ref="B40:F40"/>
    <mergeCell ref="B41:F41"/>
    <mergeCell ref="B42:F42"/>
    <mergeCell ref="B48:F48"/>
    <mergeCell ref="B49:F49"/>
    <mergeCell ref="B50:F50"/>
    <mergeCell ref="B19:F19"/>
    <mergeCell ref="B20:F20"/>
    <mergeCell ref="B28:F28"/>
    <mergeCell ref="E35:F35"/>
    <mergeCell ref="B21:C22"/>
    <mergeCell ref="B23:C23"/>
    <mergeCell ref="I91:I94"/>
    <mergeCell ref="I141:I142"/>
    <mergeCell ref="B140:F140"/>
    <mergeCell ref="I129:I139"/>
    <mergeCell ref="B130:F130"/>
    <mergeCell ref="B129:F129"/>
    <mergeCell ref="B131:F131"/>
    <mergeCell ref="B133:F133"/>
    <mergeCell ref="B134:F134"/>
    <mergeCell ref="B135:F135"/>
    <mergeCell ref="I99:I100"/>
    <mergeCell ref="I122:I123"/>
    <mergeCell ref="B122:C125"/>
    <mergeCell ref="B136:F136"/>
    <mergeCell ref="B137:F137"/>
    <mergeCell ref="B138:F138"/>
    <mergeCell ref="B139:F139"/>
    <mergeCell ref="B114:F114"/>
    <mergeCell ref="B115:F115"/>
    <mergeCell ref="B116:F116"/>
    <mergeCell ref="B106:F106"/>
    <mergeCell ref="B107:F107"/>
    <mergeCell ref="B108:F108"/>
    <mergeCell ref="B109:F109"/>
    <mergeCell ref="B110:F110"/>
    <mergeCell ref="B118:F118"/>
    <mergeCell ref="B119:F119"/>
    <mergeCell ref="B91:F91"/>
    <mergeCell ref="B92:F92"/>
    <mergeCell ref="B93:F93"/>
    <mergeCell ref="B94:F94"/>
    <mergeCell ref="B96:F96"/>
    <mergeCell ref="I517:I518"/>
    <mergeCell ref="M434:M435"/>
    <mergeCell ref="E435:F435"/>
    <mergeCell ref="B437:F439"/>
    <mergeCell ref="B440:F440"/>
    <mergeCell ref="B441:F441"/>
    <mergeCell ref="B448:F448"/>
    <mergeCell ref="B449:F449"/>
    <mergeCell ref="I416:I419"/>
    <mergeCell ref="I423:I427"/>
    <mergeCell ref="I437:I441"/>
    <mergeCell ref="I445:I449"/>
    <mergeCell ref="L502:L503"/>
    <mergeCell ref="L514:L515"/>
    <mergeCell ref="E434:F434"/>
    <mergeCell ref="G434:G435"/>
    <mergeCell ref="J434:J435"/>
    <mergeCell ref="K434:K435"/>
    <mergeCell ref="L434:L435"/>
    <mergeCell ref="I459:I463"/>
    <mergeCell ref="I467:I471"/>
    <mergeCell ref="L476:M476"/>
    <mergeCell ref="M490:M491"/>
    <mergeCell ref="B482:F482"/>
    <mergeCell ref="B483:F483"/>
    <mergeCell ref="B481:F481"/>
    <mergeCell ref="B488:F488"/>
    <mergeCell ref="B423:F427"/>
    <mergeCell ref="B416:F419"/>
    <mergeCell ref="J508:J509"/>
    <mergeCell ref="K508:K509"/>
    <mergeCell ref="L508:L509"/>
    <mergeCell ref="M478:M479"/>
    <mergeCell ref="L478:L479"/>
    <mergeCell ref="L484:L485"/>
    <mergeCell ref="L490:L491"/>
    <mergeCell ref="M484:M485"/>
    <mergeCell ref="L184:L185"/>
    <mergeCell ref="L229:L230"/>
    <mergeCell ref="L243:L244"/>
    <mergeCell ref="L248:L249"/>
    <mergeCell ref="L253:L254"/>
    <mergeCell ref="L264:L265"/>
    <mergeCell ref="L269:L270"/>
    <mergeCell ref="L274:L275"/>
    <mergeCell ref="L285:L286"/>
    <mergeCell ref="L241:M241"/>
    <mergeCell ref="M243:M244"/>
    <mergeCell ref="L290:L291"/>
    <mergeCell ref="L295:L296"/>
    <mergeCell ref="L306:L307"/>
    <mergeCell ref="L312:L313"/>
    <mergeCell ref="L318:L319"/>
    <mergeCell ref="M290:M291"/>
    <mergeCell ref="L351:M351"/>
    <mergeCell ref="M338:M339"/>
    <mergeCell ref="M353:M354"/>
    <mergeCell ref="M393:M394"/>
    <mergeCell ref="L401:L402"/>
    <mergeCell ref="M401:M402"/>
    <mergeCell ref="B236:F236"/>
    <mergeCell ref="B238:H238"/>
    <mergeCell ref="M312:M313"/>
    <mergeCell ref="M306:M307"/>
    <mergeCell ref="J351:K351"/>
    <mergeCell ref="I388:K388"/>
    <mergeCell ref="I389:I390"/>
    <mergeCell ref="J389:K389"/>
    <mergeCell ref="J390:K390"/>
    <mergeCell ref="J391:K391"/>
    <mergeCell ref="K393:K394"/>
    <mergeCell ref="L393:L394"/>
    <mergeCell ref="L391:M391"/>
    <mergeCell ref="J393:J394"/>
    <mergeCell ref="J431:K431"/>
    <mergeCell ref="L432:M432"/>
    <mergeCell ref="M420:M421"/>
    <mergeCell ref="L411:M411"/>
    <mergeCell ref="J411:K411"/>
    <mergeCell ref="J420:J421"/>
    <mergeCell ref="L413:L414"/>
    <mergeCell ref="L420:L421"/>
    <mergeCell ref="J413:J414"/>
    <mergeCell ref="M413:M414"/>
    <mergeCell ref="K420:K421"/>
    <mergeCell ref="J432:K432"/>
    <mergeCell ref="G351:G352"/>
    <mergeCell ref="J328:K328"/>
    <mergeCell ref="B361:F361"/>
    <mergeCell ref="B362:F362"/>
    <mergeCell ref="B364:F364"/>
    <mergeCell ref="B365:F365"/>
    <mergeCell ref="I451:K451"/>
    <mergeCell ref="B452:C455"/>
    <mergeCell ref="D452:D455"/>
    <mergeCell ref="E452:F453"/>
    <mergeCell ref="G452:H453"/>
    <mergeCell ref="J452:K452"/>
    <mergeCell ref="J453:K453"/>
    <mergeCell ref="E454:E455"/>
    <mergeCell ref="F454:F455"/>
    <mergeCell ref="G454:G455"/>
    <mergeCell ref="J454:K454"/>
    <mergeCell ref="I256:I257"/>
    <mergeCell ref="I277:I278"/>
    <mergeCell ref="I288:I289"/>
    <mergeCell ref="I298:I299"/>
    <mergeCell ref="I309:I311"/>
    <mergeCell ref="B429:H429"/>
    <mergeCell ref="B336:F336"/>
    <mergeCell ref="B337:F337"/>
    <mergeCell ref="B344:F344"/>
    <mergeCell ref="B367:F367"/>
    <mergeCell ref="B388:H388"/>
    <mergeCell ref="B389:C392"/>
    <mergeCell ref="D389:D392"/>
    <mergeCell ref="E389:F390"/>
    <mergeCell ref="G389:H390"/>
    <mergeCell ref="E391:E392"/>
    <mergeCell ref="F391:F392"/>
    <mergeCell ref="G391:G392"/>
    <mergeCell ref="E411:E412"/>
    <mergeCell ref="F411:F412"/>
    <mergeCell ref="E413:F413"/>
    <mergeCell ref="B463:F463"/>
    <mergeCell ref="B470:F470"/>
    <mergeCell ref="B462:F462"/>
    <mergeCell ref="E474:F475"/>
    <mergeCell ref="E420:F420"/>
    <mergeCell ref="B409:C412"/>
    <mergeCell ref="D409:D412"/>
    <mergeCell ref="G409:H410"/>
    <mergeCell ref="E430:F431"/>
    <mergeCell ref="E432:E433"/>
    <mergeCell ref="F432:F433"/>
    <mergeCell ref="G432:G433"/>
    <mergeCell ref="E414:F414"/>
    <mergeCell ref="E393:F393"/>
    <mergeCell ref="G393:G394"/>
    <mergeCell ref="B442:C443"/>
    <mergeCell ref="B434:C435"/>
    <mergeCell ref="B422:C422"/>
    <mergeCell ref="B451:H451"/>
    <mergeCell ref="B404:F406"/>
    <mergeCell ref="H413:H414"/>
    <mergeCell ref="E394:F394"/>
    <mergeCell ref="B396:F399"/>
    <mergeCell ref="E401:F401"/>
    <mergeCell ref="G401:G402"/>
    <mergeCell ref="E402:F402"/>
    <mergeCell ref="H411:H412"/>
    <mergeCell ref="H401:H402"/>
    <mergeCell ref="E241:E242"/>
    <mergeCell ref="F241:F242"/>
    <mergeCell ref="E244:F244"/>
    <mergeCell ref="B239:C242"/>
    <mergeCell ref="D239:D242"/>
    <mergeCell ref="E239:F240"/>
    <mergeCell ref="E243:F243"/>
    <mergeCell ref="E248:F248"/>
    <mergeCell ref="B259:H259"/>
    <mergeCell ref="G260:H261"/>
    <mergeCell ref="G239:H240"/>
    <mergeCell ref="H253:H254"/>
    <mergeCell ref="H262:H263"/>
    <mergeCell ref="H264:H265"/>
    <mergeCell ref="H269:H270"/>
    <mergeCell ref="G241:G242"/>
    <mergeCell ref="G262:G263"/>
    <mergeCell ref="B183:F183"/>
    <mergeCell ref="I223:I228"/>
    <mergeCell ref="B223:F227"/>
    <mergeCell ref="M126:M127"/>
    <mergeCell ref="L126:L127"/>
    <mergeCell ref="B132:F132"/>
    <mergeCell ref="B142:F142"/>
    <mergeCell ref="J126:J127"/>
    <mergeCell ref="G193:H194"/>
    <mergeCell ref="B192:H192"/>
    <mergeCell ref="I161:I166"/>
    <mergeCell ref="L149:L150"/>
    <mergeCell ref="L158:L159"/>
    <mergeCell ref="D193:D196"/>
    <mergeCell ref="E193:F194"/>
    <mergeCell ref="E195:E196"/>
    <mergeCell ref="F195:F196"/>
    <mergeCell ref="L195:M195"/>
    <mergeCell ref="J194:K194"/>
    <mergeCell ref="J169:K169"/>
    <mergeCell ref="J170:K170"/>
    <mergeCell ref="E171:E172"/>
    <mergeCell ref="F171:F172"/>
    <mergeCell ref="G171:G172"/>
    <mergeCell ref="J171:K171"/>
    <mergeCell ref="L171:M171"/>
    <mergeCell ref="E173:F173"/>
    <mergeCell ref="G173:G174"/>
    <mergeCell ref="J173:J174"/>
    <mergeCell ref="K173:K174"/>
    <mergeCell ref="L173:L174"/>
    <mergeCell ref="M173:M174"/>
    <mergeCell ref="I238:K238"/>
    <mergeCell ref="I215:K215"/>
    <mergeCell ref="I192:K192"/>
    <mergeCell ref="L13:L14"/>
    <mergeCell ref="L21:L22"/>
    <mergeCell ref="L57:L58"/>
    <mergeCell ref="L65:L66"/>
    <mergeCell ref="L80:L81"/>
    <mergeCell ref="L88:L89"/>
    <mergeCell ref="M229:M230"/>
    <mergeCell ref="J220:J221"/>
    <mergeCell ref="K220:K221"/>
    <mergeCell ref="K306:K307"/>
    <mergeCell ref="J295:J296"/>
    <mergeCell ref="K295:K296"/>
    <mergeCell ref="J269:J270"/>
    <mergeCell ref="J241:K241"/>
    <mergeCell ref="J302:K302"/>
    <mergeCell ref="J184:J185"/>
    <mergeCell ref="I232:I236"/>
    <mergeCell ref="J101:K101"/>
    <mergeCell ref="L101:M101"/>
    <mergeCell ref="J103:J104"/>
    <mergeCell ref="K103:K104"/>
    <mergeCell ref="L103:L104"/>
    <mergeCell ref="M103:M104"/>
    <mergeCell ref="M111:M112"/>
    <mergeCell ref="I106:I110"/>
    <mergeCell ref="J111:J112"/>
    <mergeCell ref="K111:K112"/>
    <mergeCell ref="L111:L112"/>
    <mergeCell ref="I118:I119"/>
    <mergeCell ref="B517:F518"/>
    <mergeCell ref="J10:K10"/>
    <mergeCell ref="J9:K9"/>
    <mergeCell ref="I8:K8"/>
    <mergeCell ref="I11:I12"/>
    <mergeCell ref="K11:K12"/>
    <mergeCell ref="I52:K52"/>
    <mergeCell ref="I75:K75"/>
    <mergeCell ref="I121:K121"/>
    <mergeCell ref="B16:F18"/>
    <mergeCell ref="B445:F447"/>
    <mergeCell ref="B215:H215"/>
    <mergeCell ref="B210:F210"/>
    <mergeCell ref="G195:G196"/>
    <mergeCell ref="J195:K195"/>
    <mergeCell ref="J193:K193"/>
    <mergeCell ref="B497:H497"/>
    <mergeCell ref="G498:H499"/>
    <mergeCell ref="I430:I431"/>
    <mergeCell ref="I474:I475"/>
    <mergeCell ref="I498:I499"/>
    <mergeCell ref="E230:F230"/>
    <mergeCell ref="G9:H10"/>
    <mergeCell ref="I9:I10"/>
    <mergeCell ref="I53:I54"/>
    <mergeCell ref="G76:H77"/>
    <mergeCell ref="I76:I77"/>
    <mergeCell ref="G122:H123"/>
    <mergeCell ref="G80:G81"/>
    <mergeCell ref="G88:G89"/>
    <mergeCell ref="G126:G127"/>
    <mergeCell ref="G55:G56"/>
    <mergeCell ref="B2:H2"/>
    <mergeCell ref="B8:H8"/>
    <mergeCell ref="B52:H52"/>
    <mergeCell ref="B75:H75"/>
    <mergeCell ref="B121:H121"/>
    <mergeCell ref="G13:G14"/>
    <mergeCell ref="G21:G22"/>
    <mergeCell ref="G53:H54"/>
    <mergeCell ref="O2:O4"/>
    <mergeCell ref="D9:D12"/>
    <mergeCell ref="E57:F57"/>
    <mergeCell ref="E80:F80"/>
    <mergeCell ref="E81:F81"/>
    <mergeCell ref="E88:F88"/>
    <mergeCell ref="J88:J89"/>
    <mergeCell ref="E78:E79"/>
    <mergeCell ref="F78:F79"/>
    <mergeCell ref="K13:K14"/>
    <mergeCell ref="K21:K22"/>
    <mergeCell ref="I16:I20"/>
    <mergeCell ref="I24:I28"/>
    <mergeCell ref="I38:I42"/>
    <mergeCell ref="I46:I50"/>
    <mergeCell ref="I68:I72"/>
    <mergeCell ref="G35:G36"/>
    <mergeCell ref="I2:K2"/>
    <mergeCell ref="G101:G102"/>
    <mergeCell ref="E103:F103"/>
    <mergeCell ref="G103:G104"/>
    <mergeCell ref="E104:F104"/>
    <mergeCell ref="B105:C105"/>
    <mergeCell ref="E112:F112"/>
    <mergeCell ref="K229:K230"/>
    <mergeCell ref="I239:I240"/>
    <mergeCell ref="I260:I261"/>
    <mergeCell ref="I281:I282"/>
    <mergeCell ref="I301:K301"/>
    <mergeCell ref="I315:I317"/>
    <mergeCell ref="I321:I323"/>
    <mergeCell ref="K312:K313"/>
    <mergeCell ref="J312:J313"/>
    <mergeCell ref="E149:F149"/>
    <mergeCell ref="J149:J150"/>
    <mergeCell ref="B76:C79"/>
    <mergeCell ref="D53:D56"/>
    <mergeCell ref="E58:F58"/>
    <mergeCell ref="E76:F77"/>
    <mergeCell ref="J145:K145"/>
    <mergeCell ref="J146:K146"/>
    <mergeCell ref="D122:D125"/>
    <mergeCell ref="E89:F89"/>
    <mergeCell ref="K88:K89"/>
    <mergeCell ref="B53:C56"/>
    <mergeCell ref="J53:K53"/>
    <mergeCell ref="J54:K54"/>
    <mergeCell ref="I60:I64"/>
    <mergeCell ref="B73:F73"/>
    <mergeCell ref="J99:K99"/>
    <mergeCell ref="J100:K100"/>
    <mergeCell ref="E101:E102"/>
    <mergeCell ref="F101:F102"/>
    <mergeCell ref="E99:F100"/>
    <mergeCell ref="G99:H100"/>
    <mergeCell ref="I280:K280"/>
    <mergeCell ref="G484:G485"/>
    <mergeCell ref="G490:G491"/>
    <mergeCell ref="G502:G503"/>
    <mergeCell ref="G514:G515"/>
    <mergeCell ref="E514:F514"/>
    <mergeCell ref="E479:F479"/>
    <mergeCell ref="E485:F485"/>
    <mergeCell ref="E503:F503"/>
    <mergeCell ref="B494:F494"/>
    <mergeCell ref="E491:F491"/>
    <mergeCell ref="B498:C501"/>
    <mergeCell ref="D498:D501"/>
    <mergeCell ref="B514:C515"/>
    <mergeCell ref="B508:C509"/>
    <mergeCell ref="B502:C503"/>
    <mergeCell ref="B490:C491"/>
    <mergeCell ref="B484:C485"/>
    <mergeCell ref="B478:C479"/>
    <mergeCell ref="I169:I170"/>
    <mergeCell ref="G149:G150"/>
    <mergeCell ref="G197:G198"/>
    <mergeCell ref="G220:G221"/>
    <mergeCell ref="G243:G244"/>
    <mergeCell ref="G158:G159"/>
    <mergeCell ref="G184:G185"/>
    <mergeCell ref="J3:K3"/>
    <mergeCell ref="J4:K4"/>
    <mergeCell ref="J239:K239"/>
    <mergeCell ref="J240:K240"/>
    <mergeCell ref="J260:K260"/>
    <mergeCell ref="J261:K261"/>
    <mergeCell ref="J281:K281"/>
    <mergeCell ref="J282:K282"/>
    <mergeCell ref="G78:G79"/>
    <mergeCell ref="G229:G230"/>
    <mergeCell ref="G269:G270"/>
    <mergeCell ref="G274:G275"/>
    <mergeCell ref="I267:I268"/>
    <mergeCell ref="I246:I247"/>
    <mergeCell ref="J248:J249"/>
    <mergeCell ref="J243:J244"/>
    <mergeCell ref="K184:K185"/>
    <mergeCell ref="G57:G58"/>
    <mergeCell ref="G65:G66"/>
    <mergeCell ref="J158:J159"/>
    <mergeCell ref="I145:I146"/>
    <mergeCell ref="I193:I194"/>
    <mergeCell ref="I216:I217"/>
    <mergeCell ref="I168:K168"/>
    <mergeCell ref="J229:J230"/>
    <mergeCell ref="D474:D477"/>
    <mergeCell ref="I452:I453"/>
    <mergeCell ref="J478:J479"/>
    <mergeCell ref="I473:K473"/>
    <mergeCell ref="G430:H431"/>
    <mergeCell ref="B473:H473"/>
    <mergeCell ref="G474:H475"/>
    <mergeCell ref="E456:F456"/>
    <mergeCell ref="G456:G457"/>
    <mergeCell ref="B467:F469"/>
    <mergeCell ref="G442:G443"/>
    <mergeCell ref="E457:F457"/>
    <mergeCell ref="B459:F461"/>
    <mergeCell ref="E476:E477"/>
    <mergeCell ref="F476:F477"/>
    <mergeCell ref="B474:C477"/>
    <mergeCell ref="J476:K476"/>
    <mergeCell ref="G476:G477"/>
    <mergeCell ref="B464:C465"/>
    <mergeCell ref="B456:C457"/>
    <mergeCell ref="J456:J457"/>
    <mergeCell ref="K456:K457"/>
    <mergeCell ref="J464:J465"/>
    <mergeCell ref="K464:K465"/>
    <mergeCell ref="J430:K430"/>
    <mergeCell ref="B430:C433"/>
    <mergeCell ref="D430:D433"/>
    <mergeCell ref="G478:G479"/>
    <mergeCell ref="E464:F464"/>
    <mergeCell ref="G464:G465"/>
    <mergeCell ref="E465:F465"/>
    <mergeCell ref="B471:F471"/>
    <mergeCell ref="J474:K474"/>
    <mergeCell ref="J475:K475"/>
    <mergeCell ref="M456:M457"/>
    <mergeCell ref="M464:M465"/>
    <mergeCell ref="L454:M454"/>
    <mergeCell ref="L442:L443"/>
    <mergeCell ref="L456:L457"/>
    <mergeCell ref="L464:L465"/>
    <mergeCell ref="J514:J515"/>
    <mergeCell ref="K514:K515"/>
    <mergeCell ref="M514:M515"/>
    <mergeCell ref="E515:F515"/>
    <mergeCell ref="K490:K491"/>
    <mergeCell ref="E484:F484"/>
    <mergeCell ref="J484:J485"/>
    <mergeCell ref="E490:F490"/>
    <mergeCell ref="J490:J491"/>
    <mergeCell ref="K484:K485"/>
    <mergeCell ref="E500:E501"/>
    <mergeCell ref="F500:F501"/>
    <mergeCell ref="G500:G501"/>
    <mergeCell ref="J500:K500"/>
    <mergeCell ref="L500:M500"/>
    <mergeCell ref="K502:K503"/>
    <mergeCell ref="J498:K498"/>
    <mergeCell ref="J499:K499"/>
    <mergeCell ref="J502:J503"/>
    <mergeCell ref="M502:M503"/>
    <mergeCell ref="E502:F502"/>
    <mergeCell ref="E498:F499"/>
    <mergeCell ref="K478:K479"/>
    <mergeCell ref="E478:F478"/>
    <mergeCell ref="E409:F410"/>
    <mergeCell ref="E374:F374"/>
    <mergeCell ref="J374:J375"/>
    <mergeCell ref="M374:M375"/>
    <mergeCell ref="E375:F375"/>
    <mergeCell ref="K374:K375"/>
    <mergeCell ref="E370:F371"/>
    <mergeCell ref="F372:F373"/>
    <mergeCell ref="E372:E373"/>
    <mergeCell ref="J409:K409"/>
    <mergeCell ref="J410:K410"/>
    <mergeCell ref="L374:L375"/>
    <mergeCell ref="M442:M443"/>
    <mergeCell ref="E443:F443"/>
    <mergeCell ref="K442:K443"/>
    <mergeCell ref="E442:F442"/>
    <mergeCell ref="J442:J443"/>
    <mergeCell ref="G374:G375"/>
    <mergeCell ref="G413:G414"/>
    <mergeCell ref="I429:K429"/>
    <mergeCell ref="I370:I371"/>
    <mergeCell ref="I409:I410"/>
    <mergeCell ref="E421:F421"/>
    <mergeCell ref="K413:K414"/>
    <mergeCell ref="G411:G412"/>
    <mergeCell ref="G420:G421"/>
    <mergeCell ref="B408:H408"/>
    <mergeCell ref="I408:J408"/>
    <mergeCell ref="J401:J402"/>
    <mergeCell ref="K401:K402"/>
    <mergeCell ref="I404:I406"/>
    <mergeCell ref="B377:F377"/>
    <mergeCell ref="E339:F339"/>
    <mergeCell ref="K338:K339"/>
    <mergeCell ref="J370:K370"/>
    <mergeCell ref="J371:K371"/>
    <mergeCell ref="B369:H369"/>
    <mergeCell ref="M330:M331"/>
    <mergeCell ref="E331:F331"/>
    <mergeCell ref="K330:K331"/>
    <mergeCell ref="J330:J331"/>
    <mergeCell ref="J338:J339"/>
    <mergeCell ref="E330:F330"/>
    <mergeCell ref="E338:F338"/>
    <mergeCell ref="G330:G331"/>
    <mergeCell ref="G338:G339"/>
    <mergeCell ref="L330:L331"/>
    <mergeCell ref="L338:L339"/>
    <mergeCell ref="B366:F366"/>
    <mergeCell ref="B356:F356"/>
    <mergeCell ref="B357:F357"/>
    <mergeCell ref="B358:F358"/>
    <mergeCell ref="B359:F359"/>
    <mergeCell ref="B360:F360"/>
    <mergeCell ref="B370:C373"/>
    <mergeCell ref="D370:D373"/>
    <mergeCell ref="L372:M372"/>
    <mergeCell ref="J372:K372"/>
    <mergeCell ref="G372:G373"/>
    <mergeCell ref="I369:K369"/>
    <mergeCell ref="E318:F318"/>
    <mergeCell ref="J318:J319"/>
    <mergeCell ref="M318:M319"/>
    <mergeCell ref="E319:F319"/>
    <mergeCell ref="K318:K319"/>
    <mergeCell ref="B326:C329"/>
    <mergeCell ref="D326:D329"/>
    <mergeCell ref="E326:F327"/>
    <mergeCell ref="E328:E329"/>
    <mergeCell ref="F328:F329"/>
    <mergeCell ref="J327:K327"/>
    <mergeCell ref="B321:F323"/>
    <mergeCell ref="B325:H325"/>
    <mergeCell ref="G326:H327"/>
    <mergeCell ref="G318:G319"/>
    <mergeCell ref="J326:K326"/>
    <mergeCell ref="L328:M328"/>
    <mergeCell ref="B318:C319"/>
    <mergeCell ref="I325:K325"/>
    <mergeCell ref="I326:I327"/>
    <mergeCell ref="E306:F306"/>
    <mergeCell ref="M295:M296"/>
    <mergeCell ref="E296:F296"/>
    <mergeCell ref="E295:F295"/>
    <mergeCell ref="E313:F313"/>
    <mergeCell ref="E307:F307"/>
    <mergeCell ref="B302:C305"/>
    <mergeCell ref="D302:D305"/>
    <mergeCell ref="E302:F303"/>
    <mergeCell ref="E304:E305"/>
    <mergeCell ref="F304:F305"/>
    <mergeCell ref="G304:G305"/>
    <mergeCell ref="J304:K304"/>
    <mergeCell ref="L304:M304"/>
    <mergeCell ref="J290:J291"/>
    <mergeCell ref="K290:K291"/>
    <mergeCell ref="I293:I294"/>
    <mergeCell ref="J303:K303"/>
    <mergeCell ref="J306:J307"/>
    <mergeCell ref="B312:C313"/>
    <mergeCell ref="B309:F311"/>
    <mergeCell ref="B301:H301"/>
    <mergeCell ref="G302:H303"/>
    <mergeCell ref="E312:F312"/>
    <mergeCell ref="G306:G307"/>
    <mergeCell ref="G312:G313"/>
    <mergeCell ref="I302:I303"/>
    <mergeCell ref="G290:G291"/>
    <mergeCell ref="G295:G296"/>
    <mergeCell ref="B298:F299"/>
    <mergeCell ref="B293:F294"/>
    <mergeCell ref="E290:F290"/>
    <mergeCell ref="D260:D263"/>
    <mergeCell ref="E260:F261"/>
    <mergeCell ref="M269:M270"/>
    <mergeCell ref="E270:F270"/>
    <mergeCell ref="K269:K270"/>
    <mergeCell ref="E274:F274"/>
    <mergeCell ref="I272:I273"/>
    <mergeCell ref="K274:K275"/>
    <mergeCell ref="E285:F285"/>
    <mergeCell ref="J285:J286"/>
    <mergeCell ref="M285:M286"/>
    <mergeCell ref="E286:F286"/>
    <mergeCell ref="K285:K286"/>
    <mergeCell ref="E281:F282"/>
    <mergeCell ref="J274:J275"/>
    <mergeCell ref="L283:M283"/>
    <mergeCell ref="F283:F284"/>
    <mergeCell ref="E283:E284"/>
    <mergeCell ref="J283:K283"/>
    <mergeCell ref="G283:G284"/>
    <mergeCell ref="M274:M275"/>
    <mergeCell ref="E275:F275"/>
    <mergeCell ref="G285:G286"/>
    <mergeCell ref="G281:H282"/>
    <mergeCell ref="B280:H280"/>
    <mergeCell ref="H274:H275"/>
    <mergeCell ref="B277:F278"/>
    <mergeCell ref="B272:F273"/>
    <mergeCell ref="B281:C284"/>
    <mergeCell ref="D281:D284"/>
    <mergeCell ref="B267:F268"/>
    <mergeCell ref="E269:F269"/>
    <mergeCell ref="M248:M249"/>
    <mergeCell ref="E249:F249"/>
    <mergeCell ref="I251:I252"/>
    <mergeCell ref="J253:J254"/>
    <mergeCell ref="J262:K262"/>
    <mergeCell ref="E262:E263"/>
    <mergeCell ref="L262:M262"/>
    <mergeCell ref="M253:M254"/>
    <mergeCell ref="E254:F254"/>
    <mergeCell ref="E253:F253"/>
    <mergeCell ref="E264:F264"/>
    <mergeCell ref="J264:J265"/>
    <mergeCell ref="M264:M265"/>
    <mergeCell ref="E265:F265"/>
    <mergeCell ref="K253:K254"/>
    <mergeCell ref="K264:K265"/>
    <mergeCell ref="F262:F263"/>
    <mergeCell ref="G248:G249"/>
    <mergeCell ref="G253:G254"/>
    <mergeCell ref="G264:G265"/>
    <mergeCell ref="B256:F257"/>
    <mergeCell ref="B251:F252"/>
    <mergeCell ref="I259:K259"/>
    <mergeCell ref="L218:M218"/>
    <mergeCell ref="M220:M221"/>
    <mergeCell ref="E184:F184"/>
    <mergeCell ref="M184:M185"/>
    <mergeCell ref="E185:F185"/>
    <mergeCell ref="L220:L221"/>
    <mergeCell ref="M197:M198"/>
    <mergeCell ref="E198:F198"/>
    <mergeCell ref="L197:L198"/>
    <mergeCell ref="J197:J198"/>
    <mergeCell ref="E197:F197"/>
    <mergeCell ref="K197:K198"/>
    <mergeCell ref="B216:C219"/>
    <mergeCell ref="D216:D219"/>
    <mergeCell ref="E216:F217"/>
    <mergeCell ref="J216:K216"/>
    <mergeCell ref="J217:K217"/>
    <mergeCell ref="E218:E219"/>
    <mergeCell ref="F218:F219"/>
    <mergeCell ref="G218:G219"/>
    <mergeCell ref="J218:K218"/>
    <mergeCell ref="E220:F220"/>
    <mergeCell ref="E221:F221"/>
    <mergeCell ref="B212:F212"/>
    <mergeCell ref="B213:F213"/>
    <mergeCell ref="L124:M124"/>
    <mergeCell ref="K80:K81"/>
    <mergeCell ref="E53:F54"/>
    <mergeCell ref="F55:F56"/>
    <mergeCell ref="E55:E56"/>
    <mergeCell ref="K158:K159"/>
    <mergeCell ref="E158:F158"/>
    <mergeCell ref="M149:M150"/>
    <mergeCell ref="E150:F150"/>
    <mergeCell ref="K149:K150"/>
    <mergeCell ref="B145:C148"/>
    <mergeCell ref="L147:M147"/>
    <mergeCell ref="D145:D148"/>
    <mergeCell ref="F147:F148"/>
    <mergeCell ref="E145:F146"/>
    <mergeCell ref="E147:E148"/>
    <mergeCell ref="J147:K147"/>
    <mergeCell ref="G147:G148"/>
    <mergeCell ref="G145:H146"/>
    <mergeCell ref="B158:C159"/>
    <mergeCell ref="B149:C150"/>
    <mergeCell ref="B151:C151"/>
    <mergeCell ref="D76:D79"/>
    <mergeCell ref="E159:F159"/>
    <mergeCell ref="M158:M159"/>
    <mergeCell ref="E111:F111"/>
    <mergeCell ref="G111:G112"/>
    <mergeCell ref="B113:C113"/>
    <mergeCell ref="B86:F86"/>
    <mergeCell ref="B95:F95"/>
    <mergeCell ref="I83:I85"/>
    <mergeCell ref="B117:F117"/>
    <mergeCell ref="K243:K244"/>
    <mergeCell ref="K248:K249"/>
    <mergeCell ref="L55:M55"/>
    <mergeCell ref="M13:M14"/>
    <mergeCell ref="M21:M22"/>
    <mergeCell ref="E13:F13"/>
    <mergeCell ref="J57:J58"/>
    <mergeCell ref="J80:J81"/>
    <mergeCell ref="M80:M81"/>
    <mergeCell ref="M88:M89"/>
    <mergeCell ref="L78:M78"/>
    <mergeCell ref="M57:M58"/>
    <mergeCell ref="J55:K55"/>
    <mergeCell ref="J78:K78"/>
    <mergeCell ref="B141:F141"/>
    <mergeCell ref="B162:F163"/>
    <mergeCell ref="I31:I32"/>
    <mergeCell ref="J31:K31"/>
    <mergeCell ref="J32:K32"/>
    <mergeCell ref="E33:E34"/>
    <mergeCell ref="F33:F34"/>
    <mergeCell ref="G33:G34"/>
    <mergeCell ref="I33:I34"/>
    <mergeCell ref="K33:K34"/>
    <mergeCell ref="I144:K144"/>
    <mergeCell ref="E21:F21"/>
    <mergeCell ref="E22:F22"/>
    <mergeCell ref="E14:F14"/>
    <mergeCell ref="J13:J14"/>
    <mergeCell ref="J21:J22"/>
    <mergeCell ref="J124:K124"/>
    <mergeCell ref="G124:G125"/>
    <mergeCell ref="I6:M6"/>
    <mergeCell ref="B3:H4"/>
    <mergeCell ref="C6:H6"/>
    <mergeCell ref="E65:F65"/>
    <mergeCell ref="J65:J66"/>
    <mergeCell ref="M65:M66"/>
    <mergeCell ref="E66:F66"/>
    <mergeCell ref="L33:M33"/>
    <mergeCell ref="L35:L36"/>
    <mergeCell ref="M35:M36"/>
    <mergeCell ref="E43:F43"/>
    <mergeCell ref="G43:G44"/>
    <mergeCell ref="J43:J44"/>
    <mergeCell ref="K43:K44"/>
    <mergeCell ref="L43:L44"/>
    <mergeCell ref="M43:M44"/>
    <mergeCell ref="E44:F44"/>
    <mergeCell ref="B30:H30"/>
    <mergeCell ref="I30:K30"/>
    <mergeCell ref="B31:C34"/>
    <mergeCell ref="D31:D34"/>
    <mergeCell ref="E31:F32"/>
    <mergeCell ref="G31:H32"/>
    <mergeCell ref="L11:M11"/>
    <mergeCell ref="F11:F12"/>
    <mergeCell ref="E11:E12"/>
    <mergeCell ref="G11:G12"/>
    <mergeCell ref="E9:F10"/>
    <mergeCell ref="B38:F38"/>
    <mergeCell ref="B39:F39"/>
    <mergeCell ref="H55:H56"/>
    <mergeCell ref="H33:H34"/>
    <mergeCell ref="J35:J36"/>
    <mergeCell ref="K35:K36"/>
    <mergeCell ref="E36:F36"/>
    <mergeCell ref="K57:K58"/>
    <mergeCell ref="K65:K66"/>
    <mergeCell ref="E126:F126"/>
    <mergeCell ref="J76:K76"/>
    <mergeCell ref="J77:K77"/>
    <mergeCell ref="B98:H98"/>
    <mergeCell ref="I98:K98"/>
    <mergeCell ref="B99:C102"/>
    <mergeCell ref="D99:D102"/>
    <mergeCell ref="B43:C44"/>
    <mergeCell ref="B35:C36"/>
    <mergeCell ref="B88:C89"/>
    <mergeCell ref="B80:C81"/>
    <mergeCell ref="B65:C66"/>
    <mergeCell ref="B57:C58"/>
    <mergeCell ref="B111:C112"/>
    <mergeCell ref="B103:C104"/>
    <mergeCell ref="B126:C127"/>
    <mergeCell ref="B37:C37"/>
    <mergeCell ref="B45:C45"/>
    <mergeCell ref="B59:C59"/>
    <mergeCell ref="J122:K122"/>
    <mergeCell ref="J123:K123"/>
    <mergeCell ref="E122:F123"/>
    <mergeCell ref="E124:E125"/>
    <mergeCell ref="F124:F125"/>
    <mergeCell ref="K126:K127"/>
    <mergeCell ref="E127:F127"/>
    <mergeCell ref="I114:I116"/>
    <mergeCell ref="B376:C376"/>
    <mergeCell ref="B395:C395"/>
    <mergeCell ref="B403:C403"/>
    <mergeCell ref="B415:C415"/>
    <mergeCell ref="B229:C230"/>
    <mergeCell ref="B220:C221"/>
    <mergeCell ref="B197:C198"/>
    <mergeCell ref="B184:C185"/>
    <mergeCell ref="B173:C174"/>
    <mergeCell ref="B274:C275"/>
    <mergeCell ref="B269:C270"/>
    <mergeCell ref="B264:C265"/>
    <mergeCell ref="B253:C254"/>
    <mergeCell ref="B248:C249"/>
    <mergeCell ref="B243:C244"/>
    <mergeCell ref="B175:C175"/>
    <mergeCell ref="B186:C186"/>
    <mergeCell ref="B199:C199"/>
    <mergeCell ref="B222:C222"/>
    <mergeCell ref="B231:C231"/>
    <mergeCell ref="B245:C245"/>
    <mergeCell ref="B250:C250"/>
    <mergeCell ref="B255:C255"/>
    <mergeCell ref="B266:C266"/>
    <mergeCell ref="B271:C271"/>
    <mergeCell ref="B260:C263"/>
    <mergeCell ref="B288:F289"/>
    <mergeCell ref="B315:F317"/>
    <mergeCell ref="E291:F291"/>
    <mergeCell ref="B246:F247"/>
    <mergeCell ref="E229:F229"/>
    <mergeCell ref="B228:F228"/>
    <mergeCell ref="B516:C516"/>
    <mergeCell ref="B436:C436"/>
    <mergeCell ref="B444:C444"/>
    <mergeCell ref="B458:C458"/>
    <mergeCell ref="B466:C466"/>
    <mergeCell ref="B480:C480"/>
    <mergeCell ref="B486:C486"/>
    <mergeCell ref="B492:C492"/>
    <mergeCell ref="B504:C504"/>
    <mergeCell ref="B510:C510"/>
    <mergeCell ref="B276:C276"/>
    <mergeCell ref="B287:C287"/>
    <mergeCell ref="B292:C292"/>
    <mergeCell ref="B297:C297"/>
    <mergeCell ref="B308:C308"/>
    <mergeCell ref="B314:C314"/>
    <mergeCell ref="B320:C320"/>
    <mergeCell ref="B332:C332"/>
    <mergeCell ref="B340:C340"/>
    <mergeCell ref="B306:C307"/>
    <mergeCell ref="B295:C296"/>
    <mergeCell ref="B290:C291"/>
    <mergeCell ref="B285:C286"/>
    <mergeCell ref="B374:C375"/>
    <mergeCell ref="B353:C354"/>
    <mergeCell ref="B338:C339"/>
    <mergeCell ref="B330:C331"/>
    <mergeCell ref="B420:C421"/>
    <mergeCell ref="B413:C414"/>
    <mergeCell ref="B401:C402"/>
    <mergeCell ref="B393:C394"/>
    <mergeCell ref="B355:C355"/>
  </mergeCells>
  <printOptions horizontalCentered="1" verticalCentered="1"/>
  <pageMargins left="0.39370078740157483" right="0.39370078740157483" top="0.39370078740157483" bottom="0.39370078740157483" header="0.31496062992125984" footer="0.31496062992125984"/>
  <pageSetup paperSize="9" orientation="landscape" horizontalDpi="0" verticalDpi="0"/>
  <rowBreaks count="23" manualBreakCount="23">
    <brk id="7" max="16383" man="1"/>
    <brk id="29" max="16383" man="1"/>
    <brk id="51" max="16383" man="1"/>
    <brk id="74" max="16383" man="1"/>
    <brk id="97" max="16383" man="1"/>
    <brk id="120" max="16383" man="1"/>
    <brk id="143" max="16383" man="1"/>
    <brk id="167" max="16383" man="1"/>
    <brk id="191" max="16383" man="1"/>
    <brk id="214" max="16383" man="1"/>
    <brk id="237" max="16383" man="1"/>
    <brk id="258" max="16383" man="1"/>
    <brk id="279" max="16383" man="1"/>
    <brk id="300" max="16383" man="1"/>
    <brk id="324" max="16383" man="1"/>
    <brk id="347" max="16383" man="1"/>
    <brk id="368" max="16383" man="1"/>
    <brk id="387" max="16383" man="1"/>
    <brk id="407" max="16383" man="1"/>
    <brk id="428" max="16383" man="1"/>
    <brk id="450" max="16383" man="1"/>
    <brk id="472" max="16383" man="1"/>
    <brk id="496" max="16383" man="1"/>
  </rowBreaks>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CF766C8B-0535-B847-8A48-0C7C26855004}">
          <x14:formula1>
            <xm:f>Languages!$H$186:$H$191</xm:f>
          </x14:formula1>
          <xm:sqref>K481:K483 K445:K449 K333:K337 K505:K507 K16:K20 K377:K386 K246:K247 K416:K419 K437:K441 K46:K50 K68:K73 K341:K346 K467:K471 K106:K110 K83:K87 K309:K311 K298:K299 K186:K190 K293:K294 K232:K236 K38:K42 K272:K273 K267:K268 K91:K96 K129:K142 K277:K278 K24:K28 K517:K518 K288:K289 K161:K166 K423:K427 K223:K228 K60:K64 K256:K257 K152:K157 K114:K119 K459:K463 K356:K367 K251:K252 K315:K317 K321:K323 K493:K495 K404:K406 K396:K400 K200:K213 K176:K183 K511:K513 K487:K489</xm:sqref>
        </x14:dataValidation>
        <x14:dataValidation type="list" allowBlank="1" showInputMessage="1" showErrorMessage="1" xr:uid="{A8BFF2B9-ACE8-154B-8235-30A666A58F56}">
          <x14:formula1>
            <xm:f>Languages!$K$186:$K$196</xm:f>
          </x14:formula1>
          <xm:sqref>J356:J367 J298:J299 J288:J289 J272:J273 J493:J495 J445:J449 J341:J346 J416:J419 J321:J323 J396:J400 J46:J50 J83:J87 J437:J441 J16:J20 J315:J317 J309:J311 J293:J294 J91:J96 J267:J268 J256:J257 J251:J252 J333:J337 J246:J247 J114:J119 J459:J463 J223:J228 J404:J406 J186:J190 J106:J110 J60:J64 J38:J42 J24:J28 J152:J157 J377:J386 J423:J427 J467:J471 J481:J483 J517:J518 J129:J142 J68:J73 J277:J278 J502 J161:J166 J176:J183 J200:J213 J232:J236 J511:J513 J505:J507 J487:J489</xm:sqref>
        </x14:dataValidation>
        <x14:dataValidation type="list" allowBlank="1" showInputMessage="1" showErrorMessage="1" xr:uid="{D54E1560-1553-E343-B9DC-393EACA6A0A7}">
          <x14:formula1>
            <xm:f>Languages!$J$190:$J$194</xm:f>
          </x14:formula1>
          <xm:sqref>H13 H35 H396:H401 H57 H377:H386 H80 H413 H126 H159 H374 H197 H220 H229 H243 H176:H184 H187:H190 H264 H298:H299 H333:H338 H285 H246:H248 H60:H65 H306 H149 H223:H227 H330 H353 H393 H251:H253 H434 H464 H478 H272:H274 H173 H277:H278 H505:H508 H288:H290 H517:H518 H267:H269 H456 H256:H257 H46:H50 H293:H295 H232:H235 H16:H21 H200:H212 H38:H43 H24:H28 H161:H166 H88 H103 H83:H86 H91:H95 H106:H111 H68:H73 H129:H142 H114:H119 H152:H157 H481:H484 H502 H493:H495 H467:H471 H459:H461 H445:H447 H437:H442 H341:H346 H423:H427 H416:H420 H404:H406 H321:H323 H356:H367 H309:H312 H315:H318 H511:H514 H487:H490</xm:sqref>
        </x14:dataValidation>
        <x14:dataValidation type="list" allowBlank="1" showInputMessage="1" showErrorMessage="1" xr:uid="{749E7E2D-80FA-4648-A487-244EB7482C94}">
          <x14:formula1>
            <xm:f>Languages!$J$183:$J$187</xm:f>
          </x14:formula1>
          <xm:sqref>I14 I22 I58 I66 I81 I89 I127 I112 I150 I159 I198 I221 I185 I230 I244 I249 I254 I515 I265 I270 I275 I286 I291 I307 I313 I319 I331 I339 I375 I414 I421 I443 I479 I491 I503 I509 I296 I457 I465 I435 I36 I44 I104 I174 I354 I394 I402 I485</xm:sqref>
        </x14:dataValidation>
        <x14:dataValidation type="list" allowBlank="1" showInputMessage="1" showErrorMessage="1" xr:uid="{DE2C0BFE-6EE2-9B45-B01E-10FEB72404BD}">
          <x14:formula1>
            <xm:f>Languages!$P$177:$P$181</xm:f>
          </x14:formula1>
          <xm:sqref>H158</xm:sqref>
        </x14:dataValidation>
        <x14:dataValidation type="list" allowBlank="1" showInputMessage="1" showErrorMessage="1" xr:uid="{3838DEE1-735E-8D44-B41A-B76E25917503}">
          <x14:formula1>
            <xm:f>Languages!$U$172:$U$179</xm:f>
          </x14:formula1>
          <xm:sqref>I13 I21 I35 I43 I57 I65 I80 I88 I103 I111 I126 I149 I158 I173 I184 I197 I220 I229 I243 I248 I253 I264 I269 I274 I285 I290 I295 I306 I312 I318 I330 I338 I353 I374 I393 I401 I413 I420 I434 I442 I456 I464 I478 I490 I502 I508 I514 I484</xm:sqref>
        </x14:dataValidation>
        <x14:dataValidation type="list" allowBlank="1" showInputMessage="1" showErrorMessage="1" xr:uid="{093791C2-9337-A744-802D-D6767413AEC4}">
          <x14:formula1>
            <xm:f>Languages!$Q$179:$Q$196</xm:f>
          </x14:formula1>
          <xm:sqref>G114:G117 H60:H64 H383:H384 H16:H20 H24:H28 H512 H38:H42 H106:H110 H114:H119 H46:H50 H129:H142 H200:H212 H400 H68:H73 H356:H362 H364:H366 H335:H337 H344:H346 H482 H494 H506 H176:H183 H187:H190 G24:G27 G38:G40 G46:G48 G16:G19 G200:G205 G211:G212 G396:G400 G404:G406 G60:G63 G333:G337 G176:G182 G68:G71 G73 G161:H166 G129:G140 G505:G507 G493:G495 G481:G483 G467:G469 G459:G461 G445:G447 G437:G439 G341:G346 G423:G425 G416:G417 G377:G384 G232:G235 G356:G365 G309:G311 G315:G317 G298:G299 G293:G294 G288:G289 G277:G278 G272:G273 G267:G268 G256:G257 G251:G252 G246:G247 G321:G323 G223:G227 G184:G189 G517:G518 G91:H95 G83:H86 G106:G109 G152:H157 G511:G513 H488 G487:G489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U371"/>
  <sheetViews>
    <sheetView topLeftCell="A205" zoomScale="78" zoomScaleNormal="78" workbookViewId="0">
      <selection activeCell="E237" sqref="E237"/>
    </sheetView>
  </sheetViews>
  <sheetFormatPr baseColWidth="10" defaultColWidth="10.83203125" defaultRowHeight="16" outlineLevelRow="1"/>
  <cols>
    <col min="1" max="1" width="1.83203125" customWidth="1"/>
    <col min="2" max="2" width="1.6640625" customWidth="1"/>
    <col min="3" max="3" width="33.83203125" customWidth="1"/>
    <col min="4" max="4" width="4.1640625" style="15" customWidth="1"/>
    <col min="5" max="5" width="30.6640625" style="4" customWidth="1"/>
    <col min="6" max="6" width="10" style="6" customWidth="1"/>
    <col min="7" max="7" width="12.83203125" style="3" customWidth="1"/>
    <col min="8" max="8" width="5.6640625" customWidth="1"/>
    <col min="9" max="9" width="32.6640625" customWidth="1"/>
    <col min="10" max="10" width="18.33203125" style="2" customWidth="1"/>
    <col min="11" max="11" width="33.5" customWidth="1"/>
    <col min="12" max="12" width="55.1640625" style="10" customWidth="1"/>
    <col min="13" max="13" width="30.33203125" style="4" customWidth="1"/>
    <col min="14" max="14" width="43.5" style="4" customWidth="1"/>
    <col min="15" max="15" width="21.1640625" style="4" customWidth="1"/>
    <col min="16" max="16" width="33.5" customWidth="1"/>
    <col min="17" max="17" width="25.5" customWidth="1"/>
    <col min="18" max="18" width="8.5" customWidth="1"/>
    <col min="19" max="19" width="25.83203125" customWidth="1"/>
    <col min="20" max="20" width="9.83203125" customWidth="1"/>
    <col min="21" max="21" width="28.1640625" customWidth="1"/>
  </cols>
  <sheetData>
    <row r="1" spans="2:21" ht="36" customHeight="1">
      <c r="B1" s="8"/>
      <c r="C1" s="13"/>
      <c r="D1" s="16"/>
      <c r="E1" s="8"/>
      <c r="F1" s="8"/>
      <c r="G1" s="8"/>
    </row>
    <row r="2" spans="2:21" ht="45" customHeight="1">
      <c r="B2" s="18"/>
      <c r="C2" s="18"/>
      <c r="D2" s="19"/>
      <c r="E2" s="20"/>
      <c r="F2" s="21"/>
      <c r="G2" s="22"/>
      <c r="H2" s="18"/>
      <c r="I2" s="23"/>
      <c r="J2" s="24"/>
      <c r="K2" s="23"/>
      <c r="L2" s="20"/>
      <c r="M2" s="20"/>
      <c r="N2" s="20"/>
      <c r="O2" s="20"/>
    </row>
    <row r="3" spans="2:21" s="4" customFormat="1" ht="160" customHeight="1">
      <c r="C3" s="1056" t="s">
        <v>1182</v>
      </c>
      <c r="D3" s="1056"/>
      <c r="E3" s="1056"/>
      <c r="F3" s="1056"/>
      <c r="G3" s="1056"/>
      <c r="I3" s="30" t="s">
        <v>124</v>
      </c>
      <c r="J3" s="2"/>
      <c r="K3" s="46" t="s">
        <v>157</v>
      </c>
      <c r="L3" s="1079" t="s">
        <v>95</v>
      </c>
      <c r="M3" s="1080"/>
      <c r="N3" s="97" t="s">
        <v>1046</v>
      </c>
      <c r="P3" s="1112" t="s">
        <v>1754</v>
      </c>
      <c r="Q3" s="1113"/>
      <c r="R3" s="1113"/>
      <c r="S3" s="1113"/>
      <c r="T3" s="1113"/>
      <c r="U3" s="1114"/>
    </row>
    <row r="4" spans="2:21" ht="50" customHeight="1">
      <c r="C4" s="1056"/>
      <c r="D4" s="1056"/>
      <c r="E4" s="1056"/>
      <c r="F4" s="1056"/>
      <c r="G4" s="1056"/>
      <c r="I4" s="1081" t="s">
        <v>94</v>
      </c>
      <c r="J4" s="1082"/>
      <c r="K4" s="1083"/>
      <c r="L4" s="90" t="s">
        <v>93</v>
      </c>
      <c r="M4" s="91" t="s">
        <v>1346</v>
      </c>
      <c r="N4" s="91" t="s">
        <v>1347</v>
      </c>
      <c r="O4" s="1" t="s">
        <v>1050</v>
      </c>
      <c r="P4" s="196"/>
    </row>
    <row r="5" spans="2:21" ht="43" customHeight="1">
      <c r="C5" s="1019" t="s">
        <v>1133</v>
      </c>
      <c r="D5" s="1020"/>
      <c r="E5" s="1020"/>
      <c r="F5" s="1020"/>
      <c r="G5" s="1021"/>
      <c r="I5" s="1081" t="s">
        <v>1117</v>
      </c>
      <c r="J5" s="1082"/>
      <c r="K5" s="1083"/>
      <c r="L5" s="90" t="s">
        <v>93</v>
      </c>
      <c r="M5" s="91" t="s">
        <v>1348</v>
      </c>
      <c r="N5" s="91" t="s">
        <v>1315</v>
      </c>
      <c r="O5" s="1" t="s">
        <v>1051</v>
      </c>
      <c r="P5" s="239" t="s">
        <v>2099</v>
      </c>
    </row>
    <row r="6" spans="2:21" ht="45" customHeight="1">
      <c r="C6" s="1022"/>
      <c r="D6" s="1023"/>
      <c r="E6" s="1023"/>
      <c r="F6" s="1023"/>
      <c r="G6" s="1024"/>
      <c r="I6" s="1081" t="s">
        <v>1041</v>
      </c>
      <c r="J6" s="1082"/>
      <c r="K6" s="1083"/>
      <c r="L6" s="90" t="s">
        <v>93</v>
      </c>
      <c r="M6" s="91" t="s">
        <v>1349</v>
      </c>
      <c r="N6" s="91" t="s">
        <v>1350</v>
      </c>
      <c r="O6" s="1" t="s">
        <v>1052</v>
      </c>
      <c r="P6" s="239" t="s">
        <v>2128</v>
      </c>
      <c r="Q6" s="295" t="s">
        <v>2121</v>
      </c>
    </row>
    <row r="7" spans="2:21" ht="33" customHeight="1">
      <c r="C7" s="1022"/>
      <c r="D7" s="1023"/>
      <c r="E7" s="1023"/>
      <c r="F7" s="1023"/>
      <c r="G7" s="1024"/>
      <c r="H7" s="136" t="s">
        <v>1233</v>
      </c>
      <c r="I7" s="42" t="s">
        <v>1202</v>
      </c>
      <c r="K7" s="184" t="s">
        <v>1968</v>
      </c>
      <c r="L7" s="182" t="s">
        <v>2071</v>
      </c>
      <c r="M7" s="189" t="s">
        <v>2203</v>
      </c>
      <c r="N7" s="184" t="s">
        <v>2072</v>
      </c>
      <c r="P7" s="239" t="s">
        <v>2135</v>
      </c>
    </row>
    <row r="8" spans="2:21" ht="32" customHeight="1">
      <c r="C8" s="1022"/>
      <c r="D8" s="1023"/>
      <c r="E8" s="1023"/>
      <c r="F8" s="1023"/>
      <c r="G8" s="1024"/>
      <c r="H8" s="136" t="s">
        <v>1234</v>
      </c>
      <c r="I8" s="42" t="s">
        <v>1203</v>
      </c>
      <c r="K8" s="184" t="s">
        <v>2073</v>
      </c>
      <c r="L8" s="183" t="s">
        <v>1826</v>
      </c>
      <c r="M8" s="188" t="s">
        <v>1602</v>
      </c>
      <c r="N8" s="184" t="s">
        <v>1434</v>
      </c>
      <c r="O8" s="1"/>
      <c r="P8" s="239" t="s">
        <v>2098</v>
      </c>
      <c r="Q8" s="296" t="s">
        <v>2034</v>
      </c>
      <c r="S8" s="295"/>
    </row>
    <row r="9" spans="2:21" ht="34" customHeight="1">
      <c r="C9" s="1022"/>
      <c r="D9" s="1023"/>
      <c r="E9" s="1023"/>
      <c r="F9" s="1023"/>
      <c r="G9" s="1024"/>
      <c r="H9" s="136" t="s">
        <v>1235</v>
      </c>
      <c r="I9" s="42" t="s">
        <v>1201</v>
      </c>
      <c r="K9" s="181" t="s">
        <v>1435</v>
      </c>
      <c r="L9" s="193" t="s">
        <v>1620</v>
      </c>
      <c r="M9" s="188" t="s">
        <v>2211</v>
      </c>
      <c r="N9" s="250" t="s">
        <v>1929</v>
      </c>
      <c r="P9" s="196"/>
      <c r="Q9" s="239" t="s">
        <v>2241</v>
      </c>
      <c r="S9" s="295" t="s">
        <v>2193</v>
      </c>
    </row>
    <row r="10" spans="2:21" ht="36" customHeight="1">
      <c r="C10" s="1025"/>
      <c r="D10" s="1026"/>
      <c r="E10" s="1026"/>
      <c r="F10" s="1026"/>
      <c r="G10" s="1027"/>
      <c r="H10" s="134" t="s">
        <v>1236</v>
      </c>
      <c r="I10" s="42" t="s">
        <v>1455</v>
      </c>
      <c r="J10" s="77"/>
      <c r="K10" s="134" t="s">
        <v>1621</v>
      </c>
      <c r="L10" s="79" t="s">
        <v>27</v>
      </c>
      <c r="M10" s="78" t="s">
        <v>78</v>
      </c>
      <c r="N10" s="78" t="s">
        <v>1822</v>
      </c>
      <c r="O10"/>
      <c r="P10" s="239" t="s">
        <v>2136</v>
      </c>
      <c r="Q10" s="239" t="s">
        <v>1983</v>
      </c>
      <c r="S10" s="295" t="s">
        <v>2195</v>
      </c>
    </row>
    <row r="11" spans="2:21" ht="38" customHeight="1">
      <c r="C11" s="156" t="s">
        <v>1437</v>
      </c>
      <c r="E11" s="38" t="s">
        <v>1795</v>
      </c>
      <c r="H11" s="134" t="s">
        <v>1237</v>
      </c>
      <c r="I11" s="42" t="s">
        <v>1243</v>
      </c>
      <c r="K11" s="86" t="s">
        <v>1307</v>
      </c>
      <c r="L11" s="43"/>
      <c r="M11" s="35"/>
      <c r="N11" s="35"/>
      <c r="O11"/>
      <c r="P11" s="239" t="s">
        <v>2137</v>
      </c>
      <c r="Q11" s="239" t="s">
        <v>2038</v>
      </c>
      <c r="S11" s="295" t="s">
        <v>2202</v>
      </c>
    </row>
    <row r="12" spans="2:21" ht="34" customHeight="1">
      <c r="C12" s="156" t="s">
        <v>1438</v>
      </c>
      <c r="E12" s="38" t="s">
        <v>106</v>
      </c>
      <c r="F12"/>
      <c r="G12"/>
      <c r="H12" s="134" t="s">
        <v>1238</v>
      </c>
      <c r="I12" s="42" t="s">
        <v>1242</v>
      </c>
      <c r="K12" s="48" t="s">
        <v>1443</v>
      </c>
      <c r="L12" s="44" t="s">
        <v>33</v>
      </c>
      <c r="M12" s="45" t="s">
        <v>117</v>
      </c>
      <c r="N12" s="45" t="s">
        <v>76</v>
      </c>
      <c r="O12"/>
      <c r="P12" s="239" t="s">
        <v>1548</v>
      </c>
      <c r="Q12" s="239" t="s">
        <v>1540</v>
      </c>
      <c r="S12" s="295" t="s">
        <v>2242</v>
      </c>
    </row>
    <row r="13" spans="2:21" ht="34" customHeight="1">
      <c r="C13" s="82" t="s">
        <v>1126</v>
      </c>
      <c r="D13"/>
      <c r="E13" s="82" t="s">
        <v>1794</v>
      </c>
      <c r="F13"/>
      <c r="G13"/>
      <c r="H13" s="134" t="s">
        <v>1239</v>
      </c>
      <c r="I13" s="42" t="s">
        <v>1545</v>
      </c>
      <c r="K13" s="141" t="s">
        <v>1526</v>
      </c>
      <c r="L13" s="44" t="s">
        <v>37</v>
      </c>
      <c r="M13" s="45" t="s">
        <v>120</v>
      </c>
      <c r="N13" s="45" t="s">
        <v>76</v>
      </c>
      <c r="O13"/>
      <c r="P13" s="297" t="s">
        <v>1542</v>
      </c>
      <c r="Q13" s="239" t="s">
        <v>1543</v>
      </c>
      <c r="S13" s="295" t="s">
        <v>1451</v>
      </c>
    </row>
    <row r="14" spans="2:21" ht="39" customHeight="1">
      <c r="C14" s="45" t="s">
        <v>29</v>
      </c>
      <c r="D14"/>
      <c r="E14" s="38" t="s">
        <v>81</v>
      </c>
      <c r="F14"/>
      <c r="G14"/>
      <c r="H14" s="134" t="s">
        <v>1266</v>
      </c>
      <c r="I14" s="62" t="s">
        <v>1544</v>
      </c>
      <c r="K14" s="86" t="s">
        <v>28</v>
      </c>
      <c r="L14" s="44" t="s">
        <v>34</v>
      </c>
      <c r="M14" s="45" t="s">
        <v>1061</v>
      </c>
      <c r="N14" s="45" t="s">
        <v>118</v>
      </c>
      <c r="O14"/>
      <c r="Q14" s="239" t="s">
        <v>1623</v>
      </c>
      <c r="S14" s="295" t="s">
        <v>2244</v>
      </c>
    </row>
    <row r="15" spans="2:21" ht="36" customHeight="1">
      <c r="C15" s="38" t="s">
        <v>0</v>
      </c>
      <c r="E15" s="140" t="s">
        <v>1444</v>
      </c>
      <c r="F15"/>
      <c r="G15"/>
      <c r="H15" s="134" t="s">
        <v>1552</v>
      </c>
      <c r="I15" s="62" t="s">
        <v>1619</v>
      </c>
      <c r="K15" s="39"/>
      <c r="L15" s="44" t="s">
        <v>35</v>
      </c>
      <c r="M15" s="45" t="s">
        <v>80</v>
      </c>
      <c r="N15" s="45" t="s">
        <v>90</v>
      </c>
      <c r="O15"/>
      <c r="Q15" s="239" t="s">
        <v>2035</v>
      </c>
      <c r="S15" s="295" t="s">
        <v>2239</v>
      </c>
    </row>
    <row r="16" spans="2:21" ht="38" customHeight="1">
      <c r="C16" s="38" t="s">
        <v>1508</v>
      </c>
      <c r="E16" s="32" t="s">
        <v>88</v>
      </c>
      <c r="F16" s="1062"/>
      <c r="G16" s="1063"/>
      <c r="K16" s="40" t="s">
        <v>1472</v>
      </c>
      <c r="L16" s="44" t="s">
        <v>36</v>
      </c>
      <c r="M16" s="45" t="s">
        <v>2197</v>
      </c>
      <c r="N16" s="45" t="s">
        <v>89</v>
      </c>
      <c r="O16"/>
      <c r="Q16" s="239" t="s">
        <v>2036</v>
      </c>
      <c r="S16" s="295" t="s">
        <v>2238</v>
      </c>
    </row>
    <row r="17" spans="2:21" ht="42" customHeight="1">
      <c r="C17" s="38" t="s">
        <v>1512</v>
      </c>
      <c r="E17" s="33" t="s">
        <v>1441</v>
      </c>
      <c r="F17" s="1028" t="s">
        <v>1618</v>
      </c>
      <c r="G17" s="1029"/>
      <c r="I17" s="87" t="s">
        <v>1787</v>
      </c>
      <c r="K17" s="40" t="s">
        <v>1471</v>
      </c>
      <c r="L17" s="44" t="s">
        <v>38</v>
      </c>
      <c r="M17" s="45" t="s">
        <v>79</v>
      </c>
      <c r="N17" s="45" t="s">
        <v>92</v>
      </c>
      <c r="O17"/>
      <c r="Q17" s="239" t="s">
        <v>1946</v>
      </c>
      <c r="S17" s="295" t="s">
        <v>2243</v>
      </c>
    </row>
    <row r="18" spans="2:21" ht="39" customHeight="1">
      <c r="C18" s="38" t="s">
        <v>45</v>
      </c>
      <c r="E18" s="33" t="s">
        <v>1445</v>
      </c>
      <c r="F18" s="1030" t="s">
        <v>1506</v>
      </c>
      <c r="G18" s="1030"/>
      <c r="I18" s="86" t="s">
        <v>1547</v>
      </c>
      <c r="K18" s="40" t="s">
        <v>2113</v>
      </c>
      <c r="L18" s="44" t="s">
        <v>39</v>
      </c>
      <c r="M18" s="45" t="s">
        <v>77</v>
      </c>
      <c r="N18" s="45" t="s">
        <v>91</v>
      </c>
      <c r="O18"/>
      <c r="Q18" s="239" t="s">
        <v>1947</v>
      </c>
      <c r="S18" s="295" t="s">
        <v>2205</v>
      </c>
    </row>
    <row r="19" spans="2:21" ht="41" customHeight="1">
      <c r="C19" s="38" t="s">
        <v>73</v>
      </c>
      <c r="E19" s="34" t="s">
        <v>2131</v>
      </c>
      <c r="F19" s="1030" t="s">
        <v>1539</v>
      </c>
      <c r="G19" s="1030"/>
      <c r="I19" s="35" t="s">
        <v>1527</v>
      </c>
      <c r="K19" s="40" t="s">
        <v>1473</v>
      </c>
      <c r="L19" s="44" t="s">
        <v>40</v>
      </c>
      <c r="M19" s="45" t="s">
        <v>2198</v>
      </c>
      <c r="N19" s="45" t="s">
        <v>2199</v>
      </c>
      <c r="O19"/>
      <c r="Q19" s="239" t="s">
        <v>431</v>
      </c>
      <c r="S19" s="295" t="s">
        <v>2245</v>
      </c>
    </row>
    <row r="20" spans="2:21" ht="43" customHeight="1">
      <c r="C20" s="35" t="s">
        <v>1513</v>
      </c>
      <c r="D20" s="29"/>
      <c r="E20" s="1085" t="s">
        <v>1531</v>
      </c>
      <c r="F20" s="1084" t="s">
        <v>1433</v>
      </c>
      <c r="G20" s="1084"/>
      <c r="I20" s="37" t="s">
        <v>2104</v>
      </c>
      <c r="K20" s="40" t="s">
        <v>1449</v>
      </c>
      <c r="L20" s="44" t="s">
        <v>41</v>
      </c>
      <c r="M20" s="45" t="s">
        <v>119</v>
      </c>
      <c r="N20" s="45" t="s">
        <v>2068</v>
      </c>
      <c r="O20"/>
      <c r="Q20" s="239" t="s">
        <v>1624</v>
      </c>
      <c r="S20" s="295" t="s">
        <v>2248</v>
      </c>
    </row>
    <row r="21" spans="2:21" ht="51" customHeight="1">
      <c r="C21" s="38" t="s">
        <v>1514</v>
      </c>
      <c r="D21" s="29"/>
      <c r="E21" s="1085"/>
      <c r="F21" s="1087" t="s">
        <v>1507</v>
      </c>
      <c r="G21" s="1087"/>
      <c r="I21" s="37" t="s">
        <v>2105</v>
      </c>
      <c r="K21" s="40" t="s">
        <v>1454</v>
      </c>
      <c r="L21" s="44" t="s">
        <v>30</v>
      </c>
      <c r="M21" s="45"/>
      <c r="N21" s="45"/>
      <c r="O21"/>
      <c r="Q21" s="239" t="s">
        <v>2037</v>
      </c>
      <c r="S21" s="295" t="s">
        <v>2247</v>
      </c>
    </row>
    <row r="22" spans="2:21" ht="44" customHeight="1">
      <c r="C22" s="35" t="s">
        <v>1515</v>
      </c>
      <c r="D22" s="29"/>
      <c r="E22" s="1085"/>
      <c r="F22" s="1030" t="s">
        <v>44</v>
      </c>
      <c r="G22" s="1030"/>
      <c r="I22" s="37" t="s">
        <v>2106</v>
      </c>
      <c r="K22" s="40" t="s">
        <v>1448</v>
      </c>
      <c r="L22" s="44" t="s">
        <v>31</v>
      </c>
      <c r="M22" s="45" t="s">
        <v>1815</v>
      </c>
      <c r="N22" s="45" t="s">
        <v>1808</v>
      </c>
      <c r="O22"/>
      <c r="Q22" s="239" t="s">
        <v>1622</v>
      </c>
      <c r="S22" s="295" t="s">
        <v>2246</v>
      </c>
    </row>
    <row r="23" spans="2:21" ht="42" customHeight="1">
      <c r="C23" s="38" t="s">
        <v>53</v>
      </c>
      <c r="E23" s="1085"/>
      <c r="F23" s="1088" t="s">
        <v>1043</v>
      </c>
      <c r="G23" s="1088"/>
      <c r="H23" s="8"/>
      <c r="I23" s="37" t="s">
        <v>2107</v>
      </c>
      <c r="K23" s="40" t="s">
        <v>1446</v>
      </c>
      <c r="L23" s="44" t="s">
        <v>32</v>
      </c>
      <c r="M23" s="45"/>
      <c r="N23" s="45"/>
      <c r="O23"/>
      <c r="Q23" s="239" t="s">
        <v>428</v>
      </c>
      <c r="S23" s="295" t="s">
        <v>2194</v>
      </c>
    </row>
    <row r="24" spans="2:21" ht="43" customHeight="1">
      <c r="C24" s="38" t="s">
        <v>47</v>
      </c>
      <c r="E24" s="1085"/>
      <c r="F24" s="1088" t="s">
        <v>1040</v>
      </c>
      <c r="G24" s="1088"/>
      <c r="H24" s="8"/>
      <c r="I24" s="37" t="s">
        <v>2108</v>
      </c>
      <c r="K24" s="159" t="s">
        <v>1447</v>
      </c>
      <c r="L24" s="44" t="s">
        <v>42</v>
      </c>
      <c r="M24" s="1115" t="s">
        <v>2204</v>
      </c>
      <c r="N24" s="1116"/>
      <c r="O24"/>
      <c r="Q24" s="239" t="s">
        <v>1541</v>
      </c>
      <c r="S24" s="295" t="s">
        <v>2241</v>
      </c>
    </row>
    <row r="25" spans="2:21" ht="45" customHeight="1">
      <c r="C25" s="38" t="s">
        <v>54</v>
      </c>
      <c r="E25" s="1086"/>
      <c r="F25" s="1088" t="s">
        <v>1042</v>
      </c>
      <c r="G25" s="1088"/>
      <c r="H25" s="8"/>
      <c r="I25" s="37" t="s">
        <v>2109</v>
      </c>
      <c r="K25" s="41" t="s">
        <v>13</v>
      </c>
      <c r="L25" s="44" t="s">
        <v>43</v>
      </c>
      <c r="M25" s="1079"/>
      <c r="N25" s="1080"/>
      <c r="O25"/>
      <c r="Q25" s="297" t="s">
        <v>114</v>
      </c>
      <c r="S25" s="295" t="s">
        <v>2240</v>
      </c>
    </row>
    <row r="26" spans="2:21" ht="45" customHeight="1">
      <c r="B26" s="18"/>
      <c r="C26" s="18"/>
      <c r="D26" s="19"/>
      <c r="E26" s="20"/>
      <c r="F26" s="21"/>
      <c r="G26" s="22"/>
      <c r="H26" s="18"/>
      <c r="I26" s="23"/>
      <c r="J26" s="24"/>
      <c r="K26" s="23"/>
      <c r="L26" s="20"/>
      <c r="M26" s="20"/>
      <c r="N26" s="20"/>
      <c r="O26" s="20"/>
    </row>
    <row r="27" spans="2:21" s="4" customFormat="1" ht="181" customHeight="1">
      <c r="C27" s="1056" t="s">
        <v>1183</v>
      </c>
      <c r="D27" s="1056"/>
      <c r="E27" s="1056"/>
      <c r="F27" s="1056"/>
      <c r="G27" s="1056"/>
      <c r="I27" s="30" t="s">
        <v>84</v>
      </c>
      <c r="J27" s="2"/>
      <c r="K27" s="46" t="s">
        <v>157</v>
      </c>
      <c r="L27" s="1089" t="s">
        <v>1028</v>
      </c>
      <c r="M27" s="1090"/>
      <c r="N27" s="97" t="s">
        <v>1059</v>
      </c>
      <c r="P27" s="287" t="s">
        <v>1923</v>
      </c>
      <c r="Q27"/>
      <c r="R27"/>
      <c r="S27"/>
      <c r="T27"/>
      <c r="U27"/>
    </row>
    <row r="28" spans="2:21" ht="44" customHeight="1">
      <c r="C28" s="1056"/>
      <c r="D28" s="1056"/>
      <c r="E28" s="1056"/>
      <c r="F28" s="1056"/>
      <c r="G28" s="1056"/>
      <c r="I28" s="1091" t="s">
        <v>129</v>
      </c>
      <c r="J28" s="1092"/>
      <c r="K28" s="1093"/>
      <c r="L28" s="93" t="s">
        <v>128</v>
      </c>
      <c r="M28" s="94" t="s">
        <v>1340</v>
      </c>
      <c r="N28" s="94" t="s">
        <v>1341</v>
      </c>
      <c r="O28" s="1" t="s">
        <v>1050</v>
      </c>
      <c r="P28" s="196"/>
    </row>
    <row r="29" spans="2:21" ht="48" customHeight="1">
      <c r="C29" s="1060" t="s">
        <v>1063</v>
      </c>
      <c r="D29" s="1060"/>
      <c r="E29" s="1060"/>
      <c r="F29" s="1060"/>
      <c r="G29" s="1060"/>
      <c r="I29" s="1081" t="s">
        <v>1125</v>
      </c>
      <c r="J29" s="1082"/>
      <c r="K29" s="1083"/>
      <c r="L29" s="93" t="s">
        <v>128</v>
      </c>
      <c r="M29" s="91" t="s">
        <v>1342</v>
      </c>
      <c r="N29" s="91" t="s">
        <v>1343</v>
      </c>
      <c r="O29" s="1" t="s">
        <v>1051</v>
      </c>
      <c r="P29" s="239" t="s">
        <v>1937</v>
      </c>
    </row>
    <row r="30" spans="2:21" ht="48" customHeight="1">
      <c r="C30" s="1060"/>
      <c r="D30" s="1060"/>
      <c r="E30" s="1060"/>
      <c r="F30" s="1060"/>
      <c r="G30" s="1060"/>
      <c r="I30" s="1081" t="s">
        <v>1045</v>
      </c>
      <c r="J30" s="1082"/>
      <c r="K30" s="1083"/>
      <c r="L30" s="93" t="s">
        <v>128</v>
      </c>
      <c r="M30" s="91" t="s">
        <v>1344</v>
      </c>
      <c r="N30" s="91" t="s">
        <v>1345</v>
      </c>
      <c r="O30" s="1" t="s">
        <v>1052</v>
      </c>
      <c r="P30" s="197" t="s">
        <v>1938</v>
      </c>
    </row>
    <row r="31" spans="2:21" ht="38" customHeight="1">
      <c r="C31" s="1060"/>
      <c r="D31" s="1060"/>
      <c r="E31" s="1060"/>
      <c r="F31" s="1060"/>
      <c r="G31" s="1060"/>
      <c r="H31" s="136" t="s">
        <v>1233</v>
      </c>
      <c r="I31" s="53" t="s">
        <v>1204</v>
      </c>
      <c r="J31"/>
      <c r="K31" s="184" t="s">
        <v>1969</v>
      </c>
      <c r="L31" s="185" t="s">
        <v>1585</v>
      </c>
      <c r="M31" s="188" t="s">
        <v>1597</v>
      </c>
      <c r="N31" s="184" t="s">
        <v>1609</v>
      </c>
      <c r="O31" s="1"/>
      <c r="P31" s="197" t="s">
        <v>1939</v>
      </c>
    </row>
    <row r="32" spans="2:21" ht="37" customHeight="1">
      <c r="C32" s="1060"/>
      <c r="D32" s="1060"/>
      <c r="E32" s="1060"/>
      <c r="F32" s="1060"/>
      <c r="G32" s="1060"/>
      <c r="H32" s="136" t="s">
        <v>1234</v>
      </c>
      <c r="I32" s="53" t="s">
        <v>1205</v>
      </c>
      <c r="J32"/>
      <c r="K32" s="184" t="s">
        <v>1963</v>
      </c>
      <c r="L32" s="186" t="s">
        <v>1586</v>
      </c>
      <c r="M32" s="188" t="s">
        <v>1606</v>
      </c>
      <c r="N32" s="184" t="s">
        <v>1610</v>
      </c>
      <c r="O32" s="1"/>
      <c r="P32" s="197" t="s">
        <v>1627</v>
      </c>
    </row>
    <row r="33" spans="3:17" ht="38" customHeight="1">
      <c r="C33" s="1060"/>
      <c r="D33" s="1060"/>
      <c r="E33" s="1060"/>
      <c r="F33" s="1060"/>
      <c r="G33" s="1060"/>
      <c r="H33" s="136" t="s">
        <v>1235</v>
      </c>
      <c r="I33" s="53" t="s">
        <v>1206</v>
      </c>
      <c r="K33" s="188" t="s">
        <v>1596</v>
      </c>
      <c r="M33" s="188" t="s">
        <v>1762</v>
      </c>
      <c r="N33" s="250" t="s">
        <v>1930</v>
      </c>
      <c r="O33"/>
      <c r="P33" s="197" t="s">
        <v>1628</v>
      </c>
      <c r="Q33" s="270"/>
    </row>
    <row r="34" spans="3:17" ht="41" customHeight="1">
      <c r="C34" s="1060"/>
      <c r="D34" s="1060"/>
      <c r="E34" s="1060"/>
      <c r="F34" s="1060"/>
      <c r="G34" s="1060"/>
      <c r="H34" s="134" t="s">
        <v>1236</v>
      </c>
      <c r="I34" s="148" t="s">
        <v>1267</v>
      </c>
      <c r="J34"/>
      <c r="K34" s="134" t="s">
        <v>1827</v>
      </c>
      <c r="L34" s="42" t="s">
        <v>125</v>
      </c>
      <c r="M34" s="35" t="s">
        <v>107</v>
      </c>
      <c r="N34" s="35" t="s">
        <v>126</v>
      </c>
      <c r="O34"/>
      <c r="P34" s="298" t="s">
        <v>1629</v>
      </c>
      <c r="Q34" s="299" t="s">
        <v>517</v>
      </c>
    </row>
    <row r="35" spans="3:17" ht="41" customHeight="1">
      <c r="E35" s="52" t="s">
        <v>1796</v>
      </c>
      <c r="H35" s="134" t="s">
        <v>1237</v>
      </c>
      <c r="I35" s="53" t="s">
        <v>1244</v>
      </c>
      <c r="K35" s="86" t="s">
        <v>1306</v>
      </c>
      <c r="L35" s="56"/>
      <c r="M35" s="32"/>
      <c r="N35" s="32"/>
      <c r="O35"/>
      <c r="Q35" s="299" t="s">
        <v>1984</v>
      </c>
    </row>
    <row r="36" spans="3:17" ht="42.5" customHeight="1">
      <c r="C36" s="201" t="s">
        <v>1687</v>
      </c>
      <c r="D36" s="29"/>
      <c r="E36" s="52" t="s">
        <v>1032</v>
      </c>
      <c r="F36"/>
      <c r="H36" s="134" t="s">
        <v>1238</v>
      </c>
      <c r="I36" s="53" t="s">
        <v>1245</v>
      </c>
      <c r="K36" s="48" t="s">
        <v>1273</v>
      </c>
      <c r="L36" s="53" t="s">
        <v>1011</v>
      </c>
      <c r="M36" s="54" t="s">
        <v>99</v>
      </c>
      <c r="N36" s="60" t="s">
        <v>1024</v>
      </c>
      <c r="O36"/>
      <c r="Q36" s="299" t="s">
        <v>2039</v>
      </c>
    </row>
    <row r="37" spans="3:17" ht="37.25" customHeight="1">
      <c r="C37" s="201" t="s">
        <v>1688</v>
      </c>
      <c r="D37" s="29"/>
      <c r="E37" s="82" t="s">
        <v>1802</v>
      </c>
      <c r="F37"/>
      <c r="H37" s="134" t="s">
        <v>1239</v>
      </c>
      <c r="I37" s="53" t="s">
        <v>1207</v>
      </c>
      <c r="K37" s="82" t="s">
        <v>1232</v>
      </c>
      <c r="L37" s="53" t="s">
        <v>1033</v>
      </c>
      <c r="M37" s="54" t="s">
        <v>121</v>
      </c>
      <c r="N37" s="60" t="s">
        <v>1024</v>
      </c>
      <c r="O37"/>
      <c r="Q37" s="299" t="s">
        <v>1644</v>
      </c>
    </row>
    <row r="38" spans="3:17" ht="35" customHeight="1">
      <c r="C38" s="58" t="s">
        <v>1194</v>
      </c>
      <c r="D38" s="29"/>
      <c r="E38" s="52" t="s">
        <v>1003</v>
      </c>
      <c r="H38" s="134" t="s">
        <v>1266</v>
      </c>
      <c r="I38" s="62" t="s">
        <v>1442</v>
      </c>
      <c r="K38" s="35" t="s">
        <v>1031</v>
      </c>
      <c r="L38" s="53" t="s">
        <v>1012</v>
      </c>
      <c r="M38" s="54" t="s">
        <v>122</v>
      </c>
      <c r="N38" s="60" t="s">
        <v>1025</v>
      </c>
      <c r="O38"/>
      <c r="Q38" s="299" t="s">
        <v>1645</v>
      </c>
    </row>
    <row r="39" spans="3:17" ht="40" customHeight="1">
      <c r="C39" s="82" t="s">
        <v>1127</v>
      </c>
      <c r="D39" s="29"/>
      <c r="E39" s="134" t="s">
        <v>1200</v>
      </c>
      <c r="I39" s="82" t="s">
        <v>1788</v>
      </c>
      <c r="K39" s="51"/>
      <c r="L39" s="53" t="s">
        <v>1013</v>
      </c>
      <c r="M39" s="54" t="s">
        <v>100</v>
      </c>
      <c r="N39" s="60" t="s">
        <v>1023</v>
      </c>
      <c r="O39"/>
      <c r="Q39" s="299" t="s">
        <v>1646</v>
      </c>
    </row>
    <row r="40" spans="3:17" ht="30" customHeight="1">
      <c r="C40" s="33" t="s">
        <v>156</v>
      </c>
      <c r="D40" s="29"/>
      <c r="E40" s="32" t="s">
        <v>108</v>
      </c>
      <c r="I40" s="35" t="s">
        <v>127</v>
      </c>
      <c r="K40" s="52" t="s">
        <v>1004</v>
      </c>
      <c r="L40" s="53" t="s">
        <v>1015</v>
      </c>
      <c r="M40" s="54" t="s">
        <v>101</v>
      </c>
      <c r="N40" s="60" t="s">
        <v>104</v>
      </c>
      <c r="O40"/>
      <c r="Q40" s="299" t="s">
        <v>2040</v>
      </c>
    </row>
    <row r="41" spans="3:17" ht="48" customHeight="1">
      <c r="C41" s="38" t="s">
        <v>132</v>
      </c>
      <c r="E41" s="45" t="s">
        <v>131</v>
      </c>
      <c r="I41" s="49"/>
      <c r="J41" s="9"/>
      <c r="K41" s="52" t="s">
        <v>96</v>
      </c>
      <c r="L41" s="53" t="s">
        <v>1014</v>
      </c>
      <c r="M41" s="54" t="s">
        <v>102</v>
      </c>
      <c r="N41" s="60" t="s">
        <v>105</v>
      </c>
      <c r="O41"/>
      <c r="Q41" s="299" t="s">
        <v>2041</v>
      </c>
    </row>
    <row r="42" spans="3:17" ht="40" customHeight="1">
      <c r="C42" s="38" t="s">
        <v>1029</v>
      </c>
      <c r="E42" s="45" t="s">
        <v>1195</v>
      </c>
      <c r="I42" s="50"/>
      <c r="J42" s="9"/>
      <c r="K42" s="52" t="s">
        <v>1005</v>
      </c>
      <c r="L42" s="53" t="s">
        <v>1016</v>
      </c>
      <c r="M42" s="54" t="s">
        <v>103</v>
      </c>
      <c r="N42" s="60" t="s">
        <v>1026</v>
      </c>
      <c r="O42"/>
      <c r="Q42" s="299" t="s">
        <v>1948</v>
      </c>
    </row>
    <row r="43" spans="3:17" ht="30" customHeight="1">
      <c r="C43" s="38" t="s">
        <v>1030</v>
      </c>
      <c r="E43" s="47" t="s">
        <v>1001</v>
      </c>
      <c r="F43" s="1062"/>
      <c r="G43" s="1063"/>
      <c r="I43" s="36"/>
      <c r="J43" s="9"/>
      <c r="K43" s="52" t="s">
        <v>1006</v>
      </c>
      <c r="L43" s="53" t="s">
        <v>1034</v>
      </c>
      <c r="M43" s="54" t="s">
        <v>123</v>
      </c>
      <c r="N43" s="48" t="s">
        <v>1027</v>
      </c>
      <c r="O43"/>
      <c r="Q43" s="299" t="s">
        <v>1949</v>
      </c>
    </row>
    <row r="44" spans="3:17" ht="30" customHeight="1">
      <c r="C44" s="38" t="s">
        <v>135</v>
      </c>
      <c r="E44" s="1040" t="s">
        <v>1035</v>
      </c>
      <c r="F44" s="1028" t="s">
        <v>1241</v>
      </c>
      <c r="G44" s="1029"/>
      <c r="I44" s="37" t="s">
        <v>1476</v>
      </c>
      <c r="K44" s="52" t="s">
        <v>1007</v>
      </c>
      <c r="L44" s="53" t="s">
        <v>1017</v>
      </c>
      <c r="M44" s="32"/>
      <c r="N44" s="59"/>
      <c r="O44"/>
      <c r="Q44" s="299" t="s">
        <v>521</v>
      </c>
    </row>
    <row r="45" spans="3:17" ht="65" customHeight="1">
      <c r="C45" s="38" t="s">
        <v>136</v>
      </c>
      <c r="E45" s="1041"/>
      <c r="F45" s="1030" t="s">
        <v>1260</v>
      </c>
      <c r="G45" s="1030"/>
      <c r="I45" s="37" t="s">
        <v>1477</v>
      </c>
      <c r="K45" s="52" t="s">
        <v>1008</v>
      </c>
      <c r="L45" s="53" t="s">
        <v>1018</v>
      </c>
      <c r="M45" s="55" t="s">
        <v>1816</v>
      </c>
      <c r="N45" s="60" t="s">
        <v>1814</v>
      </c>
      <c r="O45"/>
      <c r="Q45" s="299" t="s">
        <v>1647</v>
      </c>
    </row>
    <row r="46" spans="3:17" ht="45" customHeight="1">
      <c r="C46" s="38" t="s">
        <v>1308</v>
      </c>
      <c r="E46" s="1041"/>
      <c r="F46" s="1030" t="s">
        <v>1260</v>
      </c>
      <c r="G46" s="1030"/>
      <c r="I46" s="37" t="s">
        <v>1478</v>
      </c>
      <c r="K46" s="52" t="s">
        <v>97</v>
      </c>
      <c r="L46" s="53" t="s">
        <v>1019</v>
      </c>
      <c r="M46" s="45"/>
      <c r="N46" s="60"/>
      <c r="O46"/>
      <c r="Q46" s="299" t="s">
        <v>2042</v>
      </c>
    </row>
    <row r="47" spans="3:17" ht="30" customHeight="1">
      <c r="C47" s="38" t="s">
        <v>137</v>
      </c>
      <c r="E47" s="1041"/>
      <c r="F47" s="1108" t="s">
        <v>1002</v>
      </c>
      <c r="G47" s="1108"/>
      <c r="I47" s="37" t="s">
        <v>1479</v>
      </c>
      <c r="K47" s="52" t="s">
        <v>98</v>
      </c>
      <c r="L47" s="53" t="s">
        <v>1020</v>
      </c>
      <c r="M47" s="45"/>
      <c r="N47" s="60"/>
      <c r="O47"/>
      <c r="Q47" s="299" t="s">
        <v>1648</v>
      </c>
    </row>
    <row r="48" spans="3:17" ht="48" customHeight="1">
      <c r="C48" s="38" t="s">
        <v>138</v>
      </c>
      <c r="E48" s="1041"/>
      <c r="F48" s="1107" t="s">
        <v>1180</v>
      </c>
      <c r="G48" s="1107"/>
      <c r="I48" s="37" t="s">
        <v>1480</v>
      </c>
      <c r="K48" s="52" t="s">
        <v>1009</v>
      </c>
      <c r="L48" s="53" t="s">
        <v>1021</v>
      </c>
      <c r="M48" s="1115" t="s">
        <v>1823</v>
      </c>
      <c r="N48" s="1117"/>
      <c r="O48"/>
      <c r="Q48" s="299" t="s">
        <v>524</v>
      </c>
    </row>
    <row r="49" spans="2:21" ht="45" customHeight="1">
      <c r="C49" s="38" t="s">
        <v>139</v>
      </c>
      <c r="E49" s="1042"/>
      <c r="F49" s="1106" t="s">
        <v>130</v>
      </c>
      <c r="G49" s="1106"/>
      <c r="I49" s="37" t="s">
        <v>1481</v>
      </c>
      <c r="K49" s="52" t="s">
        <v>1010</v>
      </c>
      <c r="L49" s="53" t="s">
        <v>1022</v>
      </c>
      <c r="M49" s="1118"/>
      <c r="N49" s="1119"/>
      <c r="O49"/>
      <c r="Q49" s="299" t="s">
        <v>1649</v>
      </c>
    </row>
    <row r="50" spans="2:21" ht="45" customHeight="1">
      <c r="B50" s="18"/>
      <c r="C50" s="18"/>
      <c r="D50" s="19"/>
      <c r="E50" s="20"/>
      <c r="F50" s="21"/>
      <c r="G50" s="22"/>
      <c r="H50" s="18"/>
      <c r="I50" s="23"/>
      <c r="J50" s="24"/>
      <c r="K50" s="23"/>
      <c r="L50" s="20"/>
      <c r="M50" s="20"/>
      <c r="N50" s="20"/>
      <c r="O50" s="20"/>
    </row>
    <row r="51" spans="2:21" s="4" customFormat="1" ht="168" customHeight="1">
      <c r="C51" s="1056" t="s">
        <v>1184</v>
      </c>
      <c r="D51" s="1056"/>
      <c r="E51" s="1056"/>
      <c r="F51" s="1056"/>
      <c r="G51" s="1056"/>
      <c r="I51" s="27" t="s">
        <v>85</v>
      </c>
      <c r="J51" s="2"/>
      <c r="K51" s="46" t="s">
        <v>157</v>
      </c>
      <c r="L51" s="1089" t="s">
        <v>158</v>
      </c>
      <c r="M51" s="1090"/>
      <c r="N51" s="97" t="s">
        <v>1058</v>
      </c>
      <c r="P51" s="287" t="s">
        <v>1924</v>
      </c>
      <c r="Q51" s="288"/>
      <c r="R51" s="288"/>
      <c r="S51" s="288"/>
      <c r="T51" s="288"/>
      <c r="U51" s="289"/>
    </row>
    <row r="52" spans="2:21" ht="40" customHeight="1">
      <c r="C52" s="1056"/>
      <c r="D52" s="1056"/>
      <c r="E52" s="1056"/>
      <c r="F52" s="1056"/>
      <c r="G52" s="1056"/>
      <c r="I52" s="1091" t="s">
        <v>1048</v>
      </c>
      <c r="J52" s="1092"/>
      <c r="K52" s="1093"/>
      <c r="L52" s="92" t="s">
        <v>1047</v>
      </c>
      <c r="M52" s="91" t="s">
        <v>1335</v>
      </c>
      <c r="N52" s="91" t="s">
        <v>1336</v>
      </c>
      <c r="O52" s="1" t="s">
        <v>1050</v>
      </c>
      <c r="P52" s="196"/>
    </row>
    <row r="53" spans="2:21" ht="41" customHeight="1">
      <c r="C53" s="1060" t="s">
        <v>1064</v>
      </c>
      <c r="D53" s="1060"/>
      <c r="E53" s="1060"/>
      <c r="F53" s="1060"/>
      <c r="G53" s="1060"/>
      <c r="I53" s="1081" t="s">
        <v>1124</v>
      </c>
      <c r="J53" s="1082"/>
      <c r="K53" s="1083"/>
      <c r="L53" s="92" t="s">
        <v>1047</v>
      </c>
      <c r="M53" s="91" t="s">
        <v>1337</v>
      </c>
      <c r="N53" s="91" t="s">
        <v>1315</v>
      </c>
      <c r="O53" s="1" t="s">
        <v>1051</v>
      </c>
      <c r="P53" s="239" t="s">
        <v>2074</v>
      </c>
    </row>
    <row r="54" spans="2:21" ht="39" customHeight="1">
      <c r="C54" s="1060"/>
      <c r="D54" s="1060"/>
      <c r="E54" s="1060"/>
      <c r="F54" s="1060"/>
      <c r="G54" s="1060"/>
      <c r="I54" s="1081" t="s">
        <v>1049</v>
      </c>
      <c r="J54" s="1082"/>
      <c r="K54" s="1083"/>
      <c r="L54" s="92" t="s">
        <v>1047</v>
      </c>
      <c r="M54" s="91" t="s">
        <v>1338</v>
      </c>
      <c r="N54" s="91" t="s">
        <v>1339</v>
      </c>
      <c r="O54" s="1" t="s">
        <v>1052</v>
      </c>
      <c r="P54" s="197" t="s">
        <v>2075</v>
      </c>
    </row>
    <row r="55" spans="2:21" ht="37" customHeight="1">
      <c r="C55" s="1060"/>
      <c r="D55" s="1060"/>
      <c r="E55" s="1060"/>
      <c r="F55" s="1060"/>
      <c r="G55" s="1060"/>
      <c r="H55" s="136" t="s">
        <v>1233</v>
      </c>
      <c r="I55" s="52" t="s">
        <v>1208</v>
      </c>
      <c r="J55" s="4"/>
      <c r="K55" s="188" t="s">
        <v>1970</v>
      </c>
      <c r="L55" s="185" t="s">
        <v>2076</v>
      </c>
      <c r="M55" s="188" t="s">
        <v>1598</v>
      </c>
      <c r="N55" s="184" t="s">
        <v>2077</v>
      </c>
      <c r="P55" s="197" t="s">
        <v>2078</v>
      </c>
    </row>
    <row r="56" spans="2:21" ht="38" customHeight="1">
      <c r="C56" s="1060"/>
      <c r="D56" s="1060"/>
      <c r="E56" s="1060"/>
      <c r="F56" s="1060"/>
      <c r="G56" s="1060"/>
      <c r="H56" s="136" t="s">
        <v>1234</v>
      </c>
      <c r="I56" s="52" t="s">
        <v>1209</v>
      </c>
      <c r="J56" s="4"/>
      <c r="K56" s="184" t="s">
        <v>2079</v>
      </c>
      <c r="L56" s="186" t="s">
        <v>2080</v>
      </c>
      <c r="M56" s="188" t="s">
        <v>1605</v>
      </c>
      <c r="N56" s="184" t="s">
        <v>1611</v>
      </c>
      <c r="P56" s="197" t="s">
        <v>1630</v>
      </c>
      <c r="Q56" s="301"/>
    </row>
    <row r="57" spans="2:21" ht="37" customHeight="1">
      <c r="C57" s="1060"/>
      <c r="D57" s="1060"/>
      <c r="E57" s="1060"/>
      <c r="F57" s="1060"/>
      <c r="G57" s="1060"/>
      <c r="H57" s="136" t="s">
        <v>1235</v>
      </c>
      <c r="I57" s="52" t="s">
        <v>1210</v>
      </c>
      <c r="J57" s="4"/>
      <c r="K57" s="188" t="s">
        <v>1599</v>
      </c>
      <c r="L57" s="4"/>
      <c r="M57" s="188" t="s">
        <v>1761</v>
      </c>
      <c r="N57" s="250" t="s">
        <v>1931</v>
      </c>
      <c r="P57" s="300" t="s">
        <v>1631</v>
      </c>
      <c r="Q57" s="301" t="s">
        <v>611</v>
      </c>
    </row>
    <row r="58" spans="2:21" ht="35" customHeight="1">
      <c r="C58" s="1060"/>
      <c r="D58" s="1060"/>
      <c r="E58" s="1060"/>
      <c r="F58" s="1060"/>
      <c r="G58" s="1060"/>
      <c r="H58" s="134" t="s">
        <v>1236</v>
      </c>
      <c r="I58" s="148" t="s">
        <v>1268</v>
      </c>
      <c r="K58" s="134" t="s">
        <v>1828</v>
      </c>
      <c r="L58" s="42" t="s">
        <v>161</v>
      </c>
      <c r="M58" s="35" t="s">
        <v>162</v>
      </c>
      <c r="N58" s="35" t="s">
        <v>163</v>
      </c>
      <c r="O58"/>
      <c r="P58" s="298" t="s">
        <v>2081</v>
      </c>
      <c r="Q58" s="301" t="s">
        <v>1985</v>
      </c>
    </row>
    <row r="59" spans="2:21" ht="34" customHeight="1">
      <c r="C59" s="8"/>
      <c r="E59" s="53" t="s">
        <v>1801</v>
      </c>
      <c r="F59"/>
      <c r="G59"/>
      <c r="H59" s="134" t="s">
        <v>1237</v>
      </c>
      <c r="I59" s="52" t="s">
        <v>1246</v>
      </c>
      <c r="K59" s="86" t="s">
        <v>1305</v>
      </c>
      <c r="L59" s="43"/>
      <c r="M59" s="35"/>
      <c r="N59" s="35"/>
      <c r="O59"/>
      <c r="Q59" s="301" t="s">
        <v>2043</v>
      </c>
    </row>
    <row r="60" spans="2:21" ht="41" customHeight="1">
      <c r="C60" s="156" t="s">
        <v>1685</v>
      </c>
      <c r="E60" s="53" t="s">
        <v>144</v>
      </c>
      <c r="F60"/>
      <c r="H60" s="134" t="s">
        <v>1238</v>
      </c>
      <c r="I60" s="52" t="s">
        <v>1247</v>
      </c>
      <c r="K60" s="48" t="s">
        <v>1273</v>
      </c>
      <c r="L60" s="44" t="s">
        <v>166</v>
      </c>
      <c r="M60" s="58" t="s">
        <v>148</v>
      </c>
      <c r="N60" s="53" t="s">
        <v>167</v>
      </c>
      <c r="O60"/>
      <c r="Q60" s="301" t="s">
        <v>1650</v>
      </c>
    </row>
    <row r="61" spans="2:21" ht="38" customHeight="1">
      <c r="C61" s="156" t="s">
        <v>1686</v>
      </c>
      <c r="E61" s="82" t="s">
        <v>1803</v>
      </c>
      <c r="F61"/>
      <c r="H61" s="134" t="s">
        <v>1239</v>
      </c>
      <c r="I61" s="52" t="s">
        <v>1211</v>
      </c>
      <c r="K61" s="82" t="s">
        <v>1231</v>
      </c>
      <c r="L61" s="44" t="s">
        <v>169</v>
      </c>
      <c r="M61" s="58" t="s">
        <v>149</v>
      </c>
      <c r="N61" s="53" t="s">
        <v>167</v>
      </c>
      <c r="O61"/>
      <c r="Q61" s="301" t="s">
        <v>1651</v>
      </c>
    </row>
    <row r="62" spans="2:21" ht="33" customHeight="1">
      <c r="C62" s="106" t="s">
        <v>1193</v>
      </c>
      <c r="E62" s="53" t="s">
        <v>193</v>
      </c>
      <c r="H62" s="134" t="s">
        <v>1266</v>
      </c>
      <c r="I62" s="62" t="s">
        <v>1442</v>
      </c>
      <c r="K62" s="35" t="s">
        <v>160</v>
      </c>
      <c r="L62" s="44" t="s">
        <v>171</v>
      </c>
      <c r="M62" s="58" t="s">
        <v>150</v>
      </c>
      <c r="N62" s="53" t="s">
        <v>172</v>
      </c>
      <c r="O62"/>
      <c r="Q62" s="301" t="s">
        <v>1652</v>
      </c>
    </row>
    <row r="63" spans="2:21" ht="39" customHeight="1">
      <c r="C63" s="81" t="s">
        <v>1128</v>
      </c>
      <c r="E63" s="134" t="s">
        <v>1200</v>
      </c>
      <c r="I63" s="45" t="s">
        <v>1789</v>
      </c>
      <c r="K63" s="51"/>
      <c r="L63" s="44" t="s">
        <v>175</v>
      </c>
      <c r="M63" s="58" t="s">
        <v>151</v>
      </c>
      <c r="N63" s="53" t="s">
        <v>176</v>
      </c>
      <c r="O63"/>
      <c r="Q63" s="301" t="s">
        <v>2044</v>
      </c>
    </row>
    <row r="64" spans="2:21" ht="30" customHeight="1">
      <c r="C64" s="103" t="s">
        <v>159</v>
      </c>
      <c r="D64" s="29"/>
      <c r="E64" s="158" t="s">
        <v>155</v>
      </c>
      <c r="I64" s="35" t="s">
        <v>145</v>
      </c>
      <c r="K64" s="52" t="s">
        <v>165</v>
      </c>
      <c r="L64" s="44" t="s">
        <v>178</v>
      </c>
      <c r="M64" s="58" t="s">
        <v>179</v>
      </c>
      <c r="N64" s="53" t="s">
        <v>180</v>
      </c>
      <c r="O64"/>
      <c r="Q64" s="301" t="s">
        <v>2045</v>
      </c>
    </row>
    <row r="65" spans="2:21" ht="52" customHeight="1">
      <c r="C65" s="52" t="s">
        <v>164</v>
      </c>
      <c r="E65" s="33" t="s">
        <v>173</v>
      </c>
      <c r="F65" s="25"/>
      <c r="I65" s="36"/>
      <c r="J65" s="9"/>
      <c r="K65" s="52" t="s">
        <v>168</v>
      </c>
      <c r="L65" s="44" t="s">
        <v>183</v>
      </c>
      <c r="M65" s="58" t="s">
        <v>152</v>
      </c>
      <c r="N65" s="53" t="s">
        <v>184</v>
      </c>
      <c r="O65"/>
      <c r="Q65" s="301" t="s">
        <v>1950</v>
      </c>
    </row>
    <row r="66" spans="2:21" ht="47" customHeight="1">
      <c r="C66" s="52" t="s">
        <v>140</v>
      </c>
      <c r="E66" s="33" t="s">
        <v>1196</v>
      </c>
      <c r="I66" s="36"/>
      <c r="J66" s="9"/>
      <c r="K66" s="52" t="s">
        <v>170</v>
      </c>
      <c r="L66" s="44" t="s">
        <v>188</v>
      </c>
      <c r="M66" s="58" t="s">
        <v>153</v>
      </c>
      <c r="N66" s="53" t="s">
        <v>189</v>
      </c>
      <c r="O66"/>
      <c r="Q66" s="301" t="s">
        <v>1951</v>
      </c>
    </row>
    <row r="67" spans="2:21" ht="30" customHeight="1">
      <c r="C67" s="52" t="s">
        <v>141</v>
      </c>
      <c r="E67" s="57" t="s">
        <v>186</v>
      </c>
      <c r="F67" s="1062"/>
      <c r="G67" s="1063"/>
      <c r="I67" s="36"/>
      <c r="J67" s="9"/>
      <c r="K67" s="52" t="s">
        <v>174</v>
      </c>
      <c r="L67" s="44" t="s">
        <v>190</v>
      </c>
      <c r="M67" s="58" t="s">
        <v>154</v>
      </c>
      <c r="N67" s="53" t="s">
        <v>191</v>
      </c>
      <c r="O67"/>
      <c r="Q67" s="301" t="s">
        <v>615</v>
      </c>
    </row>
    <row r="68" spans="2:21" ht="30" customHeight="1">
      <c r="C68" s="69" t="s">
        <v>142</v>
      </c>
      <c r="E68" s="1057" t="s">
        <v>1036</v>
      </c>
      <c r="F68" s="1028" t="s">
        <v>1259</v>
      </c>
      <c r="G68" s="1029"/>
      <c r="I68" s="37" t="s">
        <v>1482</v>
      </c>
      <c r="K68" s="52" t="s">
        <v>177</v>
      </c>
      <c r="L68" s="44" t="s">
        <v>195</v>
      </c>
      <c r="M68" s="59"/>
      <c r="N68" s="48"/>
      <c r="O68"/>
      <c r="Q68" s="301" t="s">
        <v>1653</v>
      </c>
    </row>
    <row r="69" spans="2:21" ht="71" customHeight="1">
      <c r="C69" s="52" t="s">
        <v>143</v>
      </c>
      <c r="E69" s="1058"/>
      <c r="F69" s="1030" t="s">
        <v>1261</v>
      </c>
      <c r="G69" s="1030"/>
      <c r="I69" s="37" t="s">
        <v>1483</v>
      </c>
      <c r="K69" s="52" t="s">
        <v>182</v>
      </c>
      <c r="L69" s="44" t="s">
        <v>197</v>
      </c>
      <c r="M69" s="58" t="s">
        <v>1817</v>
      </c>
      <c r="N69" s="53" t="s">
        <v>1813</v>
      </c>
      <c r="O69"/>
      <c r="Q69" s="301" t="s">
        <v>2046</v>
      </c>
    </row>
    <row r="70" spans="2:21" ht="43" customHeight="1">
      <c r="C70" s="52" t="s">
        <v>1309</v>
      </c>
      <c r="E70" s="1058"/>
      <c r="F70" s="1030" t="s">
        <v>1261</v>
      </c>
      <c r="G70" s="1030"/>
      <c r="I70" s="37" t="s">
        <v>1484</v>
      </c>
      <c r="K70" s="52" t="s">
        <v>187</v>
      </c>
      <c r="L70" s="44" t="s">
        <v>198</v>
      </c>
      <c r="M70" s="53"/>
      <c r="N70" s="53"/>
      <c r="O70"/>
      <c r="Q70" s="301" t="s">
        <v>1654</v>
      </c>
    </row>
    <row r="71" spans="2:21" ht="30" customHeight="1">
      <c r="C71" s="52" t="s">
        <v>185</v>
      </c>
      <c r="E71" s="1058"/>
      <c r="F71" s="1036" t="s">
        <v>181</v>
      </c>
      <c r="G71" s="1036"/>
      <c r="I71" s="37" t="s">
        <v>1485</v>
      </c>
      <c r="K71" s="52" t="s">
        <v>146</v>
      </c>
      <c r="L71" s="44" t="s">
        <v>199</v>
      </c>
      <c r="M71" s="53"/>
      <c r="N71" s="53"/>
      <c r="O71"/>
      <c r="Q71" s="301" t="s">
        <v>618</v>
      </c>
    </row>
    <row r="72" spans="2:21" ht="48" customHeight="1">
      <c r="C72" s="52" t="s">
        <v>2082</v>
      </c>
      <c r="E72" s="1058"/>
      <c r="F72" s="1035" t="s">
        <v>1179</v>
      </c>
      <c r="G72" s="1035"/>
      <c r="I72" s="37" t="s">
        <v>1486</v>
      </c>
      <c r="K72" s="52" t="s">
        <v>194</v>
      </c>
      <c r="L72" s="44" t="s">
        <v>200</v>
      </c>
      <c r="M72" s="1115" t="s">
        <v>2083</v>
      </c>
      <c r="N72" s="1117"/>
      <c r="O72"/>
      <c r="Q72" s="301" t="s">
        <v>1655</v>
      </c>
    </row>
    <row r="73" spans="2:21" ht="45" customHeight="1">
      <c r="C73" s="52" t="s">
        <v>192</v>
      </c>
      <c r="E73" s="1059"/>
      <c r="F73" s="1030" t="s">
        <v>147</v>
      </c>
      <c r="G73" s="1030"/>
      <c r="I73" s="37" t="s">
        <v>1487</v>
      </c>
      <c r="K73" s="52" t="s">
        <v>196</v>
      </c>
      <c r="L73" s="44" t="s">
        <v>201</v>
      </c>
      <c r="M73" s="1118"/>
      <c r="N73" s="1119"/>
      <c r="O73"/>
      <c r="Q73" s="301" t="s">
        <v>609</v>
      </c>
    </row>
    <row r="74" spans="2:21" ht="45" customHeight="1">
      <c r="B74" s="18"/>
      <c r="C74" s="18"/>
      <c r="D74" s="19"/>
      <c r="E74" s="20"/>
      <c r="F74" s="21"/>
      <c r="G74" s="22"/>
      <c r="H74" s="18"/>
      <c r="I74" s="23"/>
      <c r="J74" s="24"/>
      <c r="K74" s="23"/>
      <c r="L74" s="20"/>
      <c r="M74" s="20"/>
      <c r="N74" s="20"/>
      <c r="O74" s="20"/>
    </row>
    <row r="75" spans="2:21" s="4" customFormat="1" ht="179" customHeight="1">
      <c r="C75" s="1056" t="s">
        <v>1185</v>
      </c>
      <c r="D75" s="1056"/>
      <c r="E75" s="1056"/>
      <c r="F75" s="1056"/>
      <c r="G75" s="1056"/>
      <c r="I75" s="30" t="s">
        <v>202</v>
      </c>
      <c r="J75" s="2"/>
      <c r="K75" s="46" t="s">
        <v>157</v>
      </c>
      <c r="L75" s="1079" t="s">
        <v>203</v>
      </c>
      <c r="M75" s="1122"/>
      <c r="N75" s="97" t="s">
        <v>1057</v>
      </c>
      <c r="P75" s="287" t="s">
        <v>1925</v>
      </c>
      <c r="Q75" s="288"/>
      <c r="R75" s="288"/>
      <c r="S75" s="288"/>
      <c r="T75" s="288"/>
      <c r="U75" s="289"/>
    </row>
    <row r="76" spans="2:21" ht="40" customHeight="1">
      <c r="C76" s="1056"/>
      <c r="D76" s="1056"/>
      <c r="E76" s="1056"/>
      <c r="F76" s="1056"/>
      <c r="G76" s="1056"/>
      <c r="I76" s="1097" t="s">
        <v>218</v>
      </c>
      <c r="J76" s="1098"/>
      <c r="K76" s="1099"/>
      <c r="L76" s="93" t="s">
        <v>266</v>
      </c>
      <c r="M76" s="94" t="s">
        <v>1329</v>
      </c>
      <c r="N76" s="94" t="s">
        <v>1330</v>
      </c>
      <c r="O76" s="1" t="s">
        <v>1050</v>
      </c>
      <c r="P76" s="196"/>
    </row>
    <row r="77" spans="2:21" ht="48" customHeight="1">
      <c r="C77" s="1060" t="s">
        <v>1065</v>
      </c>
      <c r="D77" s="1060"/>
      <c r="E77" s="1060"/>
      <c r="F77" s="1060"/>
      <c r="G77" s="1060"/>
      <c r="I77" s="1097" t="s">
        <v>1122</v>
      </c>
      <c r="J77" s="1098"/>
      <c r="K77" s="1099"/>
      <c r="L77" s="93" t="s">
        <v>1123</v>
      </c>
      <c r="M77" s="91" t="s">
        <v>1331</v>
      </c>
      <c r="N77" s="94" t="s">
        <v>1332</v>
      </c>
      <c r="O77" s="1" t="s">
        <v>1051</v>
      </c>
      <c r="P77" s="239" t="s">
        <v>1940</v>
      </c>
    </row>
    <row r="78" spans="2:21" ht="48" customHeight="1">
      <c r="C78" s="1060"/>
      <c r="D78" s="1060"/>
      <c r="E78" s="1060"/>
      <c r="F78" s="1060"/>
      <c r="G78" s="1060"/>
      <c r="I78" s="1097" t="s">
        <v>1053</v>
      </c>
      <c r="J78" s="1098"/>
      <c r="K78" s="1099"/>
      <c r="L78" s="93" t="s">
        <v>266</v>
      </c>
      <c r="M78" s="91" t="s">
        <v>1333</v>
      </c>
      <c r="N78" s="94" t="s">
        <v>1334</v>
      </c>
      <c r="O78" s="1" t="s">
        <v>1052</v>
      </c>
      <c r="P78" s="198" t="s">
        <v>1941</v>
      </c>
    </row>
    <row r="79" spans="2:21" ht="35" customHeight="1">
      <c r="C79" s="1060"/>
      <c r="D79" s="1060"/>
      <c r="E79" s="1060"/>
      <c r="F79" s="1060"/>
      <c r="G79" s="1060"/>
      <c r="H79" s="134" t="s">
        <v>1233</v>
      </c>
      <c r="I79" s="145" t="s">
        <v>1212</v>
      </c>
      <c r="J79" s="4"/>
      <c r="K79" s="188" t="s">
        <v>1971</v>
      </c>
      <c r="L79" s="185" t="s">
        <v>1587</v>
      </c>
      <c r="M79" s="188" t="s">
        <v>1600</v>
      </c>
      <c r="N79" s="184" t="s">
        <v>1612</v>
      </c>
      <c r="P79" s="198" t="s">
        <v>1942</v>
      </c>
    </row>
    <row r="80" spans="2:21" ht="39" customHeight="1">
      <c r="C80" s="1060"/>
      <c r="D80" s="1060"/>
      <c r="E80" s="1060"/>
      <c r="F80" s="1060"/>
      <c r="G80" s="1060"/>
      <c r="H80" s="134" t="s">
        <v>1234</v>
      </c>
      <c r="I80" s="145" t="s">
        <v>1213</v>
      </c>
      <c r="J80" s="4"/>
      <c r="K80" s="184" t="s">
        <v>1964</v>
      </c>
      <c r="L80" s="190" t="s">
        <v>1588</v>
      </c>
      <c r="M80" s="191" t="s">
        <v>1604</v>
      </c>
      <c r="N80" s="184" t="s">
        <v>1613</v>
      </c>
      <c r="P80" s="198" t="s">
        <v>1632</v>
      </c>
      <c r="Q80" s="304"/>
    </row>
    <row r="81" spans="3:17" ht="42" customHeight="1">
      <c r="C81" s="1060"/>
      <c r="D81" s="1060"/>
      <c r="E81" s="1060"/>
      <c r="F81" s="1060"/>
      <c r="G81" s="1060"/>
      <c r="H81" s="136" t="s">
        <v>1235</v>
      </c>
      <c r="I81" s="145" t="s">
        <v>1214</v>
      </c>
      <c r="J81" s="4"/>
      <c r="K81" s="188" t="s">
        <v>1435</v>
      </c>
      <c r="L81" s="4"/>
      <c r="M81" s="191" t="s">
        <v>1760</v>
      </c>
      <c r="N81" s="250" t="s">
        <v>1932</v>
      </c>
      <c r="P81" s="302" t="s">
        <v>1633</v>
      </c>
      <c r="Q81" s="304" t="s">
        <v>705</v>
      </c>
    </row>
    <row r="82" spans="3:17" ht="44" customHeight="1">
      <c r="C82" s="1060"/>
      <c r="D82" s="1060"/>
      <c r="E82" s="1060"/>
      <c r="F82" s="1060"/>
      <c r="G82" s="1060"/>
      <c r="H82" s="134" t="s">
        <v>1236</v>
      </c>
      <c r="I82" s="148" t="s">
        <v>1269</v>
      </c>
      <c r="K82" s="134" t="s">
        <v>1829</v>
      </c>
      <c r="L82" s="42" t="s">
        <v>219</v>
      </c>
      <c r="M82" s="35" t="s">
        <v>222</v>
      </c>
      <c r="N82" s="35" t="s">
        <v>223</v>
      </c>
      <c r="O82"/>
      <c r="P82" s="303" t="s">
        <v>1634</v>
      </c>
      <c r="Q82" s="304" t="s">
        <v>1986</v>
      </c>
    </row>
    <row r="83" spans="3:17" ht="36" customHeight="1">
      <c r="E83" s="61" t="s">
        <v>1800</v>
      </c>
      <c r="F83"/>
      <c r="G83"/>
      <c r="H83" s="134" t="s">
        <v>1237</v>
      </c>
      <c r="I83" s="145" t="s">
        <v>1248</v>
      </c>
      <c r="K83" s="86" t="s">
        <v>1304</v>
      </c>
      <c r="L83" s="43"/>
      <c r="M83" s="35"/>
      <c r="N83" s="35"/>
      <c r="O83"/>
      <c r="Q83" s="304" t="s">
        <v>2047</v>
      </c>
    </row>
    <row r="84" spans="3:17" ht="42" customHeight="1">
      <c r="C84" s="200" t="s">
        <v>1683</v>
      </c>
      <c r="D84" s="29"/>
      <c r="E84" s="61" t="s">
        <v>224</v>
      </c>
      <c r="F84"/>
      <c r="H84" s="134" t="s">
        <v>1238</v>
      </c>
      <c r="I84" s="145" t="s">
        <v>1249</v>
      </c>
      <c r="K84" s="48" t="s">
        <v>1273</v>
      </c>
      <c r="L84" s="61" t="s">
        <v>236</v>
      </c>
      <c r="M84" s="62" t="s">
        <v>250</v>
      </c>
      <c r="N84" s="61" t="s">
        <v>258</v>
      </c>
      <c r="O84"/>
      <c r="Q84" s="304" t="s">
        <v>1656</v>
      </c>
    </row>
    <row r="85" spans="3:17" ht="41" customHeight="1">
      <c r="C85" s="200" t="s">
        <v>1684</v>
      </c>
      <c r="D85" s="29"/>
      <c r="E85" s="82" t="s">
        <v>1804</v>
      </c>
      <c r="F85"/>
      <c r="H85" s="134" t="s">
        <v>1239</v>
      </c>
      <c r="I85" s="145" t="s">
        <v>1215</v>
      </c>
      <c r="K85" s="82" t="s">
        <v>1230</v>
      </c>
      <c r="L85" s="61" t="s">
        <v>237</v>
      </c>
      <c r="M85" s="62" t="s">
        <v>251</v>
      </c>
      <c r="N85" s="61" t="s">
        <v>258</v>
      </c>
      <c r="O85"/>
      <c r="Q85" s="304" t="s">
        <v>1657</v>
      </c>
    </row>
    <row r="86" spans="3:17" ht="30" customHeight="1">
      <c r="C86" s="106" t="s">
        <v>1192</v>
      </c>
      <c r="E86" s="61" t="s">
        <v>225</v>
      </c>
      <c r="H86" s="134" t="s">
        <v>1266</v>
      </c>
      <c r="I86" s="62" t="s">
        <v>1442</v>
      </c>
      <c r="K86" s="35" t="s">
        <v>221</v>
      </c>
      <c r="L86" s="61" t="s">
        <v>238</v>
      </c>
      <c r="M86" s="62" t="s">
        <v>252</v>
      </c>
      <c r="N86" s="61" t="s">
        <v>259</v>
      </c>
      <c r="O86"/>
      <c r="Q86" s="304" t="s">
        <v>1658</v>
      </c>
    </row>
    <row r="87" spans="3:17" ht="40" customHeight="1">
      <c r="C87" s="82" t="s">
        <v>1129</v>
      </c>
      <c r="E87" s="134" t="s">
        <v>1200</v>
      </c>
      <c r="I87" s="45" t="s">
        <v>1790</v>
      </c>
      <c r="K87" s="39"/>
      <c r="L87" s="61" t="s">
        <v>239</v>
      </c>
      <c r="M87" s="62" t="s">
        <v>253</v>
      </c>
      <c r="N87" s="61" t="s">
        <v>260</v>
      </c>
      <c r="O87"/>
      <c r="Q87" s="304" t="s">
        <v>2048</v>
      </c>
    </row>
    <row r="88" spans="3:17" ht="30" customHeight="1">
      <c r="C88" s="85" t="s">
        <v>204</v>
      </c>
      <c r="E88" s="32" t="s">
        <v>213</v>
      </c>
      <c r="I88" s="35" t="s">
        <v>220</v>
      </c>
      <c r="K88" s="63" t="s">
        <v>226</v>
      </c>
      <c r="L88" s="61" t="s">
        <v>240</v>
      </c>
      <c r="M88" s="62" t="s">
        <v>254</v>
      </c>
      <c r="N88" s="61" t="s">
        <v>261</v>
      </c>
      <c r="O88"/>
      <c r="Q88" s="304" t="s">
        <v>2049</v>
      </c>
    </row>
    <row r="89" spans="3:17" ht="42" customHeight="1">
      <c r="C89" s="68" t="s">
        <v>205</v>
      </c>
      <c r="E89" s="33" t="s">
        <v>214</v>
      </c>
      <c r="F89" s="25"/>
      <c r="I89" s="36"/>
      <c r="J89" s="9"/>
      <c r="K89" s="63" t="s">
        <v>227</v>
      </c>
      <c r="L89" s="61" t="s">
        <v>241</v>
      </c>
      <c r="M89" s="62" t="s">
        <v>255</v>
      </c>
      <c r="N89" s="61" t="s">
        <v>262</v>
      </c>
      <c r="O89"/>
      <c r="Q89" s="304" t="s">
        <v>2050</v>
      </c>
    </row>
    <row r="90" spans="3:17" ht="39" customHeight="1">
      <c r="C90" s="68" t="s">
        <v>206</v>
      </c>
      <c r="E90" s="33" t="s">
        <v>1197</v>
      </c>
      <c r="F90" s="1062"/>
      <c r="G90" s="1063"/>
      <c r="I90" s="36"/>
      <c r="J90" s="9"/>
      <c r="K90" s="63" t="s">
        <v>228</v>
      </c>
      <c r="L90" s="61" t="s">
        <v>242</v>
      </c>
      <c r="M90" s="62" t="s">
        <v>256</v>
      </c>
      <c r="N90" s="61" t="s">
        <v>263</v>
      </c>
      <c r="O90"/>
      <c r="Q90" s="304" t="s">
        <v>1952</v>
      </c>
    </row>
    <row r="91" spans="3:17" ht="30" customHeight="1">
      <c r="C91" s="68" t="s">
        <v>207</v>
      </c>
      <c r="E91" s="34" t="s">
        <v>215</v>
      </c>
      <c r="I91" s="36"/>
      <c r="J91" s="9"/>
      <c r="K91" s="63" t="s">
        <v>229</v>
      </c>
      <c r="L91" s="61" t="s">
        <v>243</v>
      </c>
      <c r="M91" s="62" t="s">
        <v>257</v>
      </c>
      <c r="N91" s="61" t="s">
        <v>264</v>
      </c>
      <c r="O91"/>
      <c r="Q91" s="304" t="s">
        <v>709</v>
      </c>
    </row>
    <row r="92" spans="3:17" ht="30" customHeight="1">
      <c r="C92" s="68" t="s">
        <v>208</v>
      </c>
      <c r="E92" s="1040" t="s">
        <v>1037</v>
      </c>
      <c r="I92" s="37" t="s">
        <v>1488</v>
      </c>
      <c r="K92" s="63" t="s">
        <v>230</v>
      </c>
      <c r="L92" s="61" t="s">
        <v>244</v>
      </c>
      <c r="M92" s="38"/>
      <c r="N92" s="64"/>
      <c r="O92"/>
      <c r="Q92" s="304" t="s">
        <v>1659</v>
      </c>
    </row>
    <row r="93" spans="3:17" ht="56" customHeight="1">
      <c r="C93" s="68" t="s">
        <v>209</v>
      </c>
      <c r="E93" s="1041"/>
      <c r="F93" s="1028" t="s">
        <v>1258</v>
      </c>
      <c r="G93" s="1029"/>
      <c r="I93" s="37" t="s">
        <v>1489</v>
      </c>
      <c r="K93" s="63" t="s">
        <v>231</v>
      </c>
      <c r="L93" s="61" t="s">
        <v>245</v>
      </c>
      <c r="M93" s="62" t="s">
        <v>1818</v>
      </c>
      <c r="N93" s="61" t="s">
        <v>1812</v>
      </c>
      <c r="O93"/>
      <c r="Q93" s="304" t="s">
        <v>2051</v>
      </c>
    </row>
    <row r="94" spans="3:17" ht="45" customHeight="1">
      <c r="C94" s="68" t="s">
        <v>1310</v>
      </c>
      <c r="E94" s="1041"/>
      <c r="F94" s="1030" t="s">
        <v>1262</v>
      </c>
      <c r="G94" s="1030"/>
      <c r="I94" s="37" t="s">
        <v>1490</v>
      </c>
      <c r="K94" s="63" t="s">
        <v>232</v>
      </c>
      <c r="L94" s="61" t="s">
        <v>246</v>
      </c>
      <c r="M94" s="61"/>
      <c r="N94" s="61"/>
      <c r="O94"/>
      <c r="Q94" s="304" t="s">
        <v>1660</v>
      </c>
    </row>
    <row r="95" spans="3:17" ht="40" customHeight="1">
      <c r="C95" s="68" t="s">
        <v>210</v>
      </c>
      <c r="E95" s="1041"/>
      <c r="F95" s="1036" t="s">
        <v>216</v>
      </c>
      <c r="G95" s="1036"/>
      <c r="I95" s="37" t="s">
        <v>1491</v>
      </c>
      <c r="K95" s="63" t="s">
        <v>233</v>
      </c>
      <c r="L95" s="61" t="s">
        <v>247</v>
      </c>
      <c r="M95" s="61"/>
      <c r="N95" s="61"/>
      <c r="O95"/>
      <c r="Q95" s="304" t="s">
        <v>712</v>
      </c>
    </row>
    <row r="96" spans="3:17" ht="48" customHeight="1">
      <c r="C96" s="68" t="s">
        <v>211</v>
      </c>
      <c r="E96" s="1041"/>
      <c r="F96" s="1035" t="s">
        <v>1178</v>
      </c>
      <c r="G96" s="1035"/>
      <c r="I96" s="37" t="s">
        <v>1492</v>
      </c>
      <c r="K96" s="63" t="s">
        <v>234</v>
      </c>
      <c r="L96" s="61" t="s">
        <v>248</v>
      </c>
      <c r="M96" s="1115" t="s">
        <v>1824</v>
      </c>
      <c r="N96" s="1117"/>
      <c r="O96"/>
      <c r="Q96" s="304" t="s">
        <v>1661</v>
      </c>
    </row>
    <row r="97" spans="2:21" ht="45" customHeight="1">
      <c r="C97" s="68" t="s">
        <v>212</v>
      </c>
      <c r="E97" s="1042"/>
      <c r="F97" s="1030" t="s">
        <v>217</v>
      </c>
      <c r="G97" s="1030"/>
      <c r="I97" s="37" t="s">
        <v>1493</v>
      </c>
      <c r="K97" s="63" t="s">
        <v>235</v>
      </c>
      <c r="L97" s="61" t="s">
        <v>249</v>
      </c>
      <c r="M97" s="1118"/>
      <c r="N97" s="1119"/>
      <c r="O97"/>
      <c r="Q97" s="304" t="s">
        <v>703</v>
      </c>
    </row>
    <row r="98" spans="2:21" ht="45" customHeight="1">
      <c r="B98" s="18"/>
      <c r="C98" s="18"/>
      <c r="D98" s="19"/>
      <c r="E98" s="20"/>
      <c r="F98" s="21"/>
      <c r="G98" s="22"/>
      <c r="H98" s="18"/>
      <c r="I98" s="23"/>
      <c r="J98" s="24"/>
      <c r="K98" s="23"/>
      <c r="L98" s="20"/>
      <c r="M98" s="20"/>
      <c r="N98" s="20"/>
      <c r="O98" s="20"/>
    </row>
    <row r="99" spans="2:21" s="4" customFormat="1" ht="179" customHeight="1">
      <c r="C99" s="1066" t="s">
        <v>1750</v>
      </c>
      <c r="D99" s="1066"/>
      <c r="E99" s="1066"/>
      <c r="F99" s="1066"/>
      <c r="G99" s="1066"/>
      <c r="I99" s="30" t="s">
        <v>87</v>
      </c>
      <c r="J99" s="2"/>
      <c r="K99" s="233" t="s">
        <v>1751</v>
      </c>
      <c r="L99" s="1123" t="s">
        <v>1752</v>
      </c>
      <c r="M99" s="1123"/>
      <c r="N99" s="234" t="s">
        <v>1753</v>
      </c>
      <c r="P99" s="287" t="s">
        <v>1926</v>
      </c>
      <c r="Q99" s="288"/>
      <c r="R99" s="288"/>
      <c r="S99" s="288"/>
      <c r="T99" s="288"/>
      <c r="U99" s="289"/>
    </row>
    <row r="100" spans="2:21" ht="43" customHeight="1">
      <c r="C100" s="1066"/>
      <c r="D100" s="1066"/>
      <c r="E100" s="1066"/>
      <c r="F100" s="1066"/>
      <c r="G100" s="1066"/>
      <c r="I100" s="1100" t="s">
        <v>1689</v>
      </c>
      <c r="J100" s="1101"/>
      <c r="K100" s="1102"/>
      <c r="L100" s="202" t="s">
        <v>285</v>
      </c>
      <c r="M100" s="202" t="s">
        <v>1325</v>
      </c>
      <c r="N100" s="202" t="s">
        <v>1326</v>
      </c>
      <c r="O100" s="1" t="s">
        <v>1050</v>
      </c>
      <c r="P100" s="196"/>
    </row>
    <row r="101" spans="2:21" ht="47" customHeight="1">
      <c r="C101" s="1061" t="s">
        <v>1728</v>
      </c>
      <c r="D101" s="1061"/>
      <c r="E101" s="1061"/>
      <c r="F101" s="1061"/>
      <c r="G101" s="1061"/>
      <c r="I101" s="1094" t="s">
        <v>1834</v>
      </c>
      <c r="J101" s="1095"/>
      <c r="K101" s="1096"/>
      <c r="L101" s="202" t="s">
        <v>1121</v>
      </c>
      <c r="M101" s="203" t="s">
        <v>1327</v>
      </c>
      <c r="N101" s="203" t="s">
        <v>1328</v>
      </c>
      <c r="O101" s="1" t="s">
        <v>1051</v>
      </c>
      <c r="P101" s="239" t="s">
        <v>1943</v>
      </c>
    </row>
    <row r="102" spans="2:21" ht="46" customHeight="1">
      <c r="C102" s="1061"/>
      <c r="D102" s="1061"/>
      <c r="E102" s="1061"/>
      <c r="F102" s="1061"/>
      <c r="G102" s="1061"/>
      <c r="I102" s="1094" t="s">
        <v>1833</v>
      </c>
      <c r="J102" s="1095"/>
      <c r="K102" s="1096"/>
      <c r="L102" s="202" t="s">
        <v>285</v>
      </c>
      <c r="M102" s="203" t="s">
        <v>1690</v>
      </c>
      <c r="N102" s="203" t="s">
        <v>1691</v>
      </c>
      <c r="O102" s="1" t="s">
        <v>1052</v>
      </c>
      <c r="P102" s="199" t="s">
        <v>1944</v>
      </c>
    </row>
    <row r="103" spans="2:21" ht="35" customHeight="1">
      <c r="C103" s="1061"/>
      <c r="D103" s="1061"/>
      <c r="E103" s="1061"/>
      <c r="F103" s="1061"/>
      <c r="G103" s="1061"/>
      <c r="H103" s="134" t="s">
        <v>1233</v>
      </c>
      <c r="I103" s="204" t="s">
        <v>1216</v>
      </c>
      <c r="J103"/>
      <c r="K103" s="205" t="s">
        <v>1786</v>
      </c>
      <c r="L103" s="206" t="s">
        <v>1692</v>
      </c>
      <c r="M103" s="205" t="s">
        <v>1601</v>
      </c>
      <c r="N103" s="207" t="s">
        <v>1614</v>
      </c>
      <c r="P103" s="199" t="s">
        <v>1945</v>
      </c>
    </row>
    <row r="104" spans="2:21" ht="35" customHeight="1">
      <c r="C104" s="1061"/>
      <c r="D104" s="1061"/>
      <c r="E104" s="1061"/>
      <c r="F104" s="1061"/>
      <c r="G104" s="1061"/>
      <c r="H104" s="134" t="s">
        <v>1234</v>
      </c>
      <c r="I104" s="204" t="s">
        <v>1217</v>
      </c>
      <c r="J104"/>
      <c r="K104" s="184" t="s">
        <v>1965</v>
      </c>
      <c r="L104" s="206" t="s">
        <v>1589</v>
      </c>
      <c r="M104" s="208" t="s">
        <v>1603</v>
      </c>
      <c r="N104" s="207" t="s">
        <v>1615</v>
      </c>
      <c r="P104" s="199" t="s">
        <v>1635</v>
      </c>
      <c r="Q104" s="304"/>
    </row>
    <row r="105" spans="2:21" ht="39" customHeight="1">
      <c r="C105" s="1061"/>
      <c r="D105" s="1061"/>
      <c r="E105" s="1061"/>
      <c r="F105" s="1061"/>
      <c r="G105" s="1061"/>
      <c r="H105" s="136" t="s">
        <v>1235</v>
      </c>
      <c r="I105" s="204" t="s">
        <v>1218</v>
      </c>
      <c r="J105"/>
      <c r="K105" s="205" t="s">
        <v>1693</v>
      </c>
      <c r="L105"/>
      <c r="M105" s="208" t="s">
        <v>1759</v>
      </c>
      <c r="N105" s="250" t="s">
        <v>1933</v>
      </c>
      <c r="P105" s="305" t="s">
        <v>1636</v>
      </c>
      <c r="Q105" s="307" t="s">
        <v>2052</v>
      </c>
    </row>
    <row r="106" spans="2:21" ht="35" customHeight="1">
      <c r="C106" s="1061"/>
      <c r="D106" s="1061"/>
      <c r="E106" s="1061"/>
      <c r="F106" s="1061"/>
      <c r="G106" s="1061"/>
      <c r="H106" s="134" t="s">
        <v>1236</v>
      </c>
      <c r="I106" s="209" t="s">
        <v>1270</v>
      </c>
      <c r="K106" s="134" t="s">
        <v>1830</v>
      </c>
      <c r="L106" s="210" t="s">
        <v>286</v>
      </c>
      <c r="M106" s="211" t="s">
        <v>292</v>
      </c>
      <c r="N106" s="210" t="s">
        <v>298</v>
      </c>
      <c r="O106"/>
      <c r="P106" s="306" t="s">
        <v>1637</v>
      </c>
      <c r="Q106" s="307" t="s">
        <v>1987</v>
      </c>
    </row>
    <row r="107" spans="2:21" ht="40" customHeight="1">
      <c r="C107" s="226" t="s">
        <v>1729</v>
      </c>
      <c r="E107" s="215" t="s">
        <v>1799</v>
      </c>
      <c r="F107"/>
      <c r="G107"/>
      <c r="H107" s="134" t="s">
        <v>1237</v>
      </c>
      <c r="I107" s="204" t="s">
        <v>1250</v>
      </c>
      <c r="K107" s="212" t="s">
        <v>1303</v>
      </c>
      <c r="L107" s="64"/>
      <c r="M107" s="213"/>
      <c r="N107" s="64"/>
      <c r="O107"/>
      <c r="Q107" s="307" t="s">
        <v>2053</v>
      </c>
    </row>
    <row r="108" spans="2:21" ht="42" customHeight="1">
      <c r="C108" s="226" t="s">
        <v>1730</v>
      </c>
      <c r="E108" s="215" t="s">
        <v>278</v>
      </c>
      <c r="F108"/>
      <c r="H108" s="134" t="s">
        <v>1238</v>
      </c>
      <c r="I108" s="204" t="s">
        <v>1251</v>
      </c>
      <c r="K108" s="214" t="s">
        <v>1694</v>
      </c>
      <c r="L108" s="215" t="s">
        <v>287</v>
      </c>
      <c r="M108" s="213" t="s">
        <v>1695</v>
      </c>
      <c r="N108" s="215" t="s">
        <v>299</v>
      </c>
      <c r="O108"/>
      <c r="Q108" s="307" t="s">
        <v>1662</v>
      </c>
    </row>
    <row r="109" spans="2:21" ht="41" customHeight="1">
      <c r="C109" s="237" t="s">
        <v>1130</v>
      </c>
      <c r="E109" s="82" t="s">
        <v>1805</v>
      </c>
      <c r="F109"/>
      <c r="H109" s="134" t="s">
        <v>1239</v>
      </c>
      <c r="I109" s="204" t="s">
        <v>1219</v>
      </c>
      <c r="K109" s="216" t="s">
        <v>1696</v>
      </c>
      <c r="L109" s="215" t="s">
        <v>1697</v>
      </c>
      <c r="M109" s="213" t="s">
        <v>1698</v>
      </c>
      <c r="N109" s="215" t="s">
        <v>299</v>
      </c>
      <c r="O109"/>
      <c r="Q109" s="307" t="s">
        <v>1663</v>
      </c>
    </row>
    <row r="110" spans="2:21" ht="33" customHeight="1">
      <c r="C110" s="227" t="s">
        <v>267</v>
      </c>
      <c r="E110" s="215" t="s">
        <v>1731</v>
      </c>
      <c r="H110" s="134" t="s">
        <v>1266</v>
      </c>
      <c r="I110" s="217" t="s">
        <v>1699</v>
      </c>
      <c r="K110" s="218" t="s">
        <v>279</v>
      </c>
      <c r="L110" s="215" t="s">
        <v>288</v>
      </c>
      <c r="M110" s="213" t="s">
        <v>1700</v>
      </c>
      <c r="N110" s="215" t="s">
        <v>1701</v>
      </c>
      <c r="O110"/>
      <c r="Q110" s="307" t="s">
        <v>1664</v>
      </c>
    </row>
    <row r="111" spans="2:21" ht="40" customHeight="1">
      <c r="C111" s="218" t="s">
        <v>1732</v>
      </c>
      <c r="E111" s="228" t="s">
        <v>1733</v>
      </c>
      <c r="I111" s="217" t="s">
        <v>1791</v>
      </c>
      <c r="K111" s="219"/>
      <c r="L111" s="215" t="s">
        <v>1702</v>
      </c>
      <c r="M111" s="213" t="s">
        <v>293</v>
      </c>
      <c r="N111" s="215" t="s">
        <v>1703</v>
      </c>
      <c r="O111"/>
      <c r="Q111" s="307" t="s">
        <v>2054</v>
      </c>
    </row>
    <row r="112" spans="2:21" ht="30" customHeight="1">
      <c r="C112" s="218" t="s">
        <v>1734</v>
      </c>
      <c r="E112" s="229" t="s">
        <v>275</v>
      </c>
      <c r="F112" s="1062"/>
      <c r="G112" s="1063"/>
      <c r="K112" s="220" t="s">
        <v>280</v>
      </c>
      <c r="L112" s="215" t="s">
        <v>289</v>
      </c>
      <c r="M112" s="213" t="s">
        <v>294</v>
      </c>
      <c r="N112" s="215" t="s">
        <v>1704</v>
      </c>
      <c r="O112"/>
      <c r="Q112" s="307" t="s">
        <v>2055</v>
      </c>
    </row>
    <row r="113" spans="2:21" ht="42" customHeight="1">
      <c r="C113" s="218" t="s">
        <v>1735</v>
      </c>
      <c r="E113" s="230" t="s">
        <v>1736</v>
      </c>
      <c r="F113" s="1064" t="s">
        <v>1257</v>
      </c>
      <c r="G113" s="1065"/>
      <c r="I113" s="221" t="s">
        <v>1705</v>
      </c>
      <c r="J113" s="9"/>
      <c r="K113" s="220" t="s">
        <v>281</v>
      </c>
      <c r="L113" s="215" t="s">
        <v>1706</v>
      </c>
      <c r="M113" s="213" t="s">
        <v>295</v>
      </c>
      <c r="N113" s="215" t="s">
        <v>300</v>
      </c>
      <c r="O113"/>
      <c r="Q113" s="307" t="s">
        <v>1953</v>
      </c>
    </row>
    <row r="114" spans="2:21" ht="39" customHeight="1">
      <c r="C114" s="218" t="s">
        <v>271</v>
      </c>
      <c r="E114" s="230" t="s">
        <v>1737</v>
      </c>
      <c r="F114" s="1064" t="s">
        <v>1738</v>
      </c>
      <c r="G114" s="1065"/>
      <c r="I114" s="221" t="s">
        <v>1707</v>
      </c>
      <c r="J114" s="9"/>
      <c r="K114" s="220" t="s">
        <v>282</v>
      </c>
      <c r="L114" s="215" t="s">
        <v>290</v>
      </c>
      <c r="M114" s="213" t="s">
        <v>296</v>
      </c>
      <c r="N114" s="215" t="s">
        <v>1708</v>
      </c>
      <c r="O114"/>
      <c r="Q114" s="307" t="s">
        <v>1954</v>
      </c>
    </row>
    <row r="115" spans="2:21" ht="30" customHeight="1">
      <c r="C115" s="218" t="s">
        <v>1739</v>
      </c>
      <c r="E115" s="231" t="s">
        <v>1740</v>
      </c>
      <c r="F115" s="1064" t="s">
        <v>1741</v>
      </c>
      <c r="G115" s="1065"/>
      <c r="I115" s="222" t="s">
        <v>1709</v>
      </c>
      <c r="J115" s="9"/>
      <c r="K115" s="220" t="s">
        <v>283</v>
      </c>
      <c r="L115" s="215" t="s">
        <v>1710</v>
      </c>
      <c r="M115" s="213" t="s">
        <v>297</v>
      </c>
      <c r="N115" s="215" t="s">
        <v>1711</v>
      </c>
      <c r="O115"/>
      <c r="Q115" s="307" t="s">
        <v>970</v>
      </c>
    </row>
    <row r="116" spans="2:21" ht="30" customHeight="1">
      <c r="C116" s="232" t="s">
        <v>1742</v>
      </c>
      <c r="E116" s="1067" t="s">
        <v>1743</v>
      </c>
      <c r="F116" s="1031" t="s">
        <v>276</v>
      </c>
      <c r="G116" s="1031"/>
      <c r="I116" s="223" t="s">
        <v>1712</v>
      </c>
      <c r="K116" s="220" t="s">
        <v>284</v>
      </c>
      <c r="L116" s="215" t="s">
        <v>1713</v>
      </c>
      <c r="M116" s="213"/>
      <c r="N116" s="215"/>
      <c r="O116"/>
      <c r="Q116" s="307" t="s">
        <v>1665</v>
      </c>
    </row>
    <row r="117" spans="2:21" ht="58" customHeight="1">
      <c r="C117" s="218" t="s">
        <v>1574</v>
      </c>
      <c r="E117" s="1068"/>
      <c r="F117" s="1031" t="s">
        <v>1744</v>
      </c>
      <c r="G117" s="1031"/>
      <c r="I117" s="223" t="s">
        <v>1714</v>
      </c>
      <c r="K117" s="220" t="s">
        <v>1715</v>
      </c>
      <c r="L117" s="215" t="s">
        <v>1716</v>
      </c>
      <c r="M117" s="213" t="s">
        <v>1819</v>
      </c>
      <c r="N117" s="64" t="s">
        <v>1811</v>
      </c>
      <c r="O117"/>
      <c r="Q117" s="307" t="s">
        <v>2056</v>
      </c>
    </row>
    <row r="118" spans="2:21" ht="44" customHeight="1">
      <c r="C118" s="232" t="s">
        <v>1745</v>
      </c>
      <c r="E118" s="1068"/>
      <c r="F118" s="1038" t="s">
        <v>1263</v>
      </c>
      <c r="G118" s="1038"/>
      <c r="I118" s="223" t="s">
        <v>1717</v>
      </c>
      <c r="K118" s="220" t="s">
        <v>1718</v>
      </c>
      <c r="L118" s="215" t="s">
        <v>291</v>
      </c>
      <c r="M118" s="213"/>
      <c r="N118" s="64"/>
      <c r="O118"/>
      <c r="Q118" s="307" t="s">
        <v>1666</v>
      </c>
    </row>
    <row r="119" spans="2:21" ht="30" customHeight="1">
      <c r="C119" s="218" t="s">
        <v>1746</v>
      </c>
      <c r="E119" s="1068"/>
      <c r="F119" s="1038" t="s">
        <v>277</v>
      </c>
      <c r="G119" s="1038"/>
      <c r="I119" s="223" t="s">
        <v>1719</v>
      </c>
      <c r="K119" s="224" t="s">
        <v>1720</v>
      </c>
      <c r="L119" s="215" t="s">
        <v>1721</v>
      </c>
      <c r="M119" s="213"/>
      <c r="N119" s="64"/>
      <c r="O119"/>
      <c r="Q119" s="307" t="s">
        <v>979</v>
      </c>
    </row>
    <row r="120" spans="2:21" ht="48" customHeight="1">
      <c r="C120" s="218" t="s">
        <v>1747</v>
      </c>
      <c r="E120" s="1068"/>
      <c r="F120" s="1037" t="s">
        <v>1748</v>
      </c>
      <c r="G120" s="1037"/>
      <c r="I120" s="223" t="s">
        <v>1722</v>
      </c>
      <c r="K120" s="225" t="s">
        <v>1723</v>
      </c>
      <c r="L120" s="215" t="s">
        <v>1724</v>
      </c>
      <c r="M120" s="1115" t="s">
        <v>1825</v>
      </c>
      <c r="N120" s="1116"/>
      <c r="O120"/>
      <c r="Q120" s="307" t="s">
        <v>1667</v>
      </c>
    </row>
    <row r="121" spans="2:21" ht="46" customHeight="1">
      <c r="C121" s="218" t="s">
        <v>274</v>
      </c>
      <c r="E121" s="1069"/>
      <c r="F121" s="1037" t="s">
        <v>1749</v>
      </c>
      <c r="G121" s="1037"/>
      <c r="I121" s="223" t="s">
        <v>1725</v>
      </c>
      <c r="K121" s="224" t="s">
        <v>1726</v>
      </c>
      <c r="L121" s="215" t="s">
        <v>1727</v>
      </c>
      <c r="M121" s="1079"/>
      <c r="N121" s="1080"/>
      <c r="O121"/>
      <c r="Q121" s="307" t="s">
        <v>952</v>
      </c>
    </row>
    <row r="122" spans="2:21" ht="45" customHeight="1">
      <c r="B122" s="18"/>
      <c r="C122" s="18"/>
      <c r="D122" s="19"/>
      <c r="E122" s="20"/>
      <c r="F122" s="21"/>
      <c r="G122" s="22"/>
      <c r="H122" s="18"/>
      <c r="I122" s="23"/>
      <c r="J122" s="24"/>
      <c r="K122" s="23"/>
      <c r="L122" s="20"/>
      <c r="M122" s="20"/>
      <c r="N122" s="20"/>
      <c r="O122" s="20"/>
    </row>
    <row r="123" spans="2:21" s="4" customFormat="1" ht="183" customHeight="1">
      <c r="C123" s="1056" t="s">
        <v>1186</v>
      </c>
      <c r="D123" s="1056"/>
      <c r="E123" s="1056"/>
      <c r="F123" s="1056"/>
      <c r="G123" s="1056"/>
      <c r="I123" s="30" t="s">
        <v>265</v>
      </c>
      <c r="J123" s="2"/>
      <c r="K123" s="46" t="s">
        <v>157</v>
      </c>
      <c r="L123" s="1124" t="s">
        <v>301</v>
      </c>
      <c r="M123" s="1124"/>
      <c r="N123" s="97" t="s">
        <v>1056</v>
      </c>
      <c r="P123" s="287" t="s">
        <v>1927</v>
      </c>
      <c r="Q123" s="288"/>
      <c r="R123" s="288"/>
      <c r="S123" s="288"/>
      <c r="T123" s="288"/>
      <c r="U123" s="289"/>
    </row>
    <row r="124" spans="2:21" ht="44" customHeight="1">
      <c r="C124" s="1056"/>
      <c r="D124" s="1056"/>
      <c r="E124" s="1056"/>
      <c r="F124" s="1056"/>
      <c r="G124" s="1056"/>
      <c r="I124" s="1081" t="s">
        <v>313</v>
      </c>
      <c r="J124" s="1082"/>
      <c r="K124" s="1083"/>
      <c r="L124" s="90" t="s">
        <v>328</v>
      </c>
      <c r="M124" s="91" t="s">
        <v>1316</v>
      </c>
      <c r="N124" s="91" t="s">
        <v>1317</v>
      </c>
      <c r="O124" s="1" t="s">
        <v>1050</v>
      </c>
      <c r="P124" s="196"/>
    </row>
    <row r="125" spans="2:21" ht="46" customHeight="1">
      <c r="C125" s="1060" t="s">
        <v>1066</v>
      </c>
      <c r="D125" s="1060"/>
      <c r="E125" s="1060"/>
      <c r="F125" s="1060"/>
      <c r="G125" s="1060"/>
      <c r="I125" s="1081" t="s">
        <v>1835</v>
      </c>
      <c r="J125" s="1082"/>
      <c r="K125" s="1083"/>
      <c r="L125" s="90" t="s">
        <v>328</v>
      </c>
      <c r="M125" s="91" t="s">
        <v>1318</v>
      </c>
      <c r="N125" s="91" t="s">
        <v>1319</v>
      </c>
      <c r="O125" s="1" t="s">
        <v>1051</v>
      </c>
      <c r="P125" s="239" t="s">
        <v>2084</v>
      </c>
    </row>
    <row r="126" spans="2:21" ht="49" customHeight="1">
      <c r="C126" s="1060"/>
      <c r="D126" s="1060"/>
      <c r="E126" s="1060"/>
      <c r="F126" s="1060"/>
      <c r="G126" s="1060"/>
      <c r="I126" s="1081" t="s">
        <v>1118</v>
      </c>
      <c r="J126" s="1082"/>
      <c r="K126" s="1083"/>
      <c r="L126" s="90" t="s">
        <v>328</v>
      </c>
      <c r="M126" s="91" t="s">
        <v>1320</v>
      </c>
      <c r="N126" s="91" t="s">
        <v>1321</v>
      </c>
      <c r="O126" s="1" t="s">
        <v>1052</v>
      </c>
      <c r="P126" s="199" t="s">
        <v>2085</v>
      </c>
    </row>
    <row r="127" spans="2:21" ht="34" customHeight="1">
      <c r="C127" s="1060"/>
      <c r="D127" s="1060"/>
      <c r="E127" s="1060"/>
      <c r="F127" s="1060"/>
      <c r="G127" s="1060"/>
      <c r="H127" s="134" t="s">
        <v>1233</v>
      </c>
      <c r="I127" s="62" t="s">
        <v>1220</v>
      </c>
      <c r="J127" s="4"/>
      <c r="K127" s="184" t="s">
        <v>1972</v>
      </c>
      <c r="L127" s="185" t="s">
        <v>2086</v>
      </c>
      <c r="M127" s="184" t="s">
        <v>1595</v>
      </c>
      <c r="N127" s="184" t="s">
        <v>2087</v>
      </c>
      <c r="P127" s="199" t="s">
        <v>2088</v>
      </c>
    </row>
    <row r="128" spans="2:21" ht="34" customHeight="1">
      <c r="C128" s="1060"/>
      <c r="D128" s="1060"/>
      <c r="E128" s="1060"/>
      <c r="F128" s="1060"/>
      <c r="G128" s="1060"/>
      <c r="H128" s="134" t="s">
        <v>1234</v>
      </c>
      <c r="I128" s="62" t="s">
        <v>1221</v>
      </c>
      <c r="J128" s="4"/>
      <c r="K128" s="184" t="s">
        <v>2089</v>
      </c>
      <c r="L128" s="186" t="s">
        <v>1590</v>
      </c>
      <c r="M128" s="188" t="s">
        <v>1607</v>
      </c>
      <c r="N128" s="184" t="s">
        <v>1616</v>
      </c>
      <c r="P128" s="199" t="s">
        <v>1638</v>
      </c>
      <c r="Q128" s="304"/>
    </row>
    <row r="129" spans="3:17" ht="38" customHeight="1">
      <c r="C129" s="1060"/>
      <c r="D129" s="1060"/>
      <c r="E129" s="1060"/>
      <c r="F129" s="1060"/>
      <c r="G129" s="1060"/>
      <c r="H129" s="136" t="s">
        <v>1235</v>
      </c>
      <c r="I129" s="62" t="s">
        <v>1222</v>
      </c>
      <c r="J129" s="4"/>
      <c r="K129" s="184" t="s">
        <v>1594</v>
      </c>
      <c r="L129" s="4"/>
      <c r="M129" s="188" t="s">
        <v>1758</v>
      </c>
      <c r="N129" s="250" t="s">
        <v>1934</v>
      </c>
      <c r="P129" s="305" t="s">
        <v>1639</v>
      </c>
      <c r="Q129" s="307" t="s">
        <v>2057</v>
      </c>
    </row>
    <row r="130" spans="3:17" ht="39" customHeight="1">
      <c r="C130" s="1060"/>
      <c r="D130" s="1060"/>
      <c r="E130" s="1060"/>
      <c r="F130" s="1060"/>
      <c r="G130" s="1060"/>
      <c r="H130" s="134" t="s">
        <v>1236</v>
      </c>
      <c r="I130" s="148" t="s">
        <v>1271</v>
      </c>
      <c r="K130" s="134" t="s">
        <v>1831</v>
      </c>
      <c r="L130" s="61" t="s">
        <v>329</v>
      </c>
      <c r="M130" s="61" t="s">
        <v>344</v>
      </c>
      <c r="N130" s="61" t="s">
        <v>353</v>
      </c>
      <c r="O130"/>
      <c r="P130" s="306" t="s">
        <v>1640</v>
      </c>
      <c r="Q130" s="307" t="s">
        <v>1988</v>
      </c>
    </row>
    <row r="131" spans="3:17" ht="35" customHeight="1">
      <c r="E131" s="62" t="s">
        <v>1798</v>
      </c>
      <c r="F131"/>
      <c r="G131"/>
      <c r="H131" s="134" t="s">
        <v>1237</v>
      </c>
      <c r="I131" s="62" t="s">
        <v>1252</v>
      </c>
      <c r="K131" s="86" t="s">
        <v>1302</v>
      </c>
      <c r="L131" s="64"/>
      <c r="M131" s="64"/>
      <c r="N131" s="64"/>
      <c r="O131"/>
      <c r="Q131" s="307" t="s">
        <v>2058</v>
      </c>
    </row>
    <row r="132" spans="3:17" ht="39" customHeight="1">
      <c r="C132" s="200" t="s">
        <v>1681</v>
      </c>
      <c r="D132" s="29"/>
      <c r="E132" s="62" t="s">
        <v>315</v>
      </c>
      <c r="F132"/>
      <c r="H132" s="134" t="s">
        <v>1238</v>
      </c>
      <c r="I132" s="62" t="s">
        <v>1253</v>
      </c>
      <c r="K132" s="48" t="s">
        <v>1273</v>
      </c>
      <c r="L132" s="61" t="s">
        <v>330</v>
      </c>
      <c r="M132" s="61" t="s">
        <v>345</v>
      </c>
      <c r="N132" s="61" t="s">
        <v>354</v>
      </c>
      <c r="O132"/>
      <c r="Q132" s="307" t="s">
        <v>1668</v>
      </c>
    </row>
    <row r="133" spans="3:17" ht="35" customHeight="1">
      <c r="C133" s="200" t="s">
        <v>1682</v>
      </c>
      <c r="D133" s="29"/>
      <c r="E133" s="82" t="s">
        <v>1806</v>
      </c>
      <c r="F133"/>
      <c r="H133" s="134" t="s">
        <v>1239</v>
      </c>
      <c r="I133" s="62" t="s">
        <v>1223</v>
      </c>
      <c r="K133" s="68" t="s">
        <v>1229</v>
      </c>
      <c r="L133" s="61" t="s">
        <v>331</v>
      </c>
      <c r="M133" s="61" t="s">
        <v>346</v>
      </c>
      <c r="N133" s="61" t="s">
        <v>354</v>
      </c>
      <c r="O133"/>
      <c r="Q133" s="307" t="s">
        <v>1669</v>
      </c>
    </row>
    <row r="134" spans="3:17" ht="30" customHeight="1">
      <c r="C134" s="106" t="s">
        <v>1191</v>
      </c>
      <c r="E134" s="62" t="s">
        <v>316</v>
      </c>
      <c r="H134" s="134" t="s">
        <v>1266</v>
      </c>
      <c r="I134" s="62" t="s">
        <v>1442</v>
      </c>
      <c r="K134" s="66" t="s">
        <v>317</v>
      </c>
      <c r="L134" s="61" t="s">
        <v>332</v>
      </c>
      <c r="M134" s="61" t="s">
        <v>347</v>
      </c>
      <c r="N134" s="61" t="s">
        <v>355</v>
      </c>
      <c r="O134"/>
      <c r="Q134" s="307" t="s">
        <v>1670</v>
      </c>
    </row>
    <row r="135" spans="3:17" ht="35" customHeight="1">
      <c r="C135" s="52" t="s">
        <v>1131</v>
      </c>
      <c r="E135" s="134" t="s">
        <v>1200</v>
      </c>
      <c r="I135" s="81" t="s">
        <v>1792</v>
      </c>
      <c r="K135" s="67"/>
      <c r="L135" s="61" t="s">
        <v>333</v>
      </c>
      <c r="M135" s="61" t="s">
        <v>348</v>
      </c>
      <c r="N135" s="61" t="s">
        <v>356</v>
      </c>
      <c r="O135"/>
      <c r="Q135" s="307" t="s">
        <v>2059</v>
      </c>
    </row>
    <row r="136" spans="3:17" ht="40" customHeight="1">
      <c r="C136" s="95" t="s">
        <v>302</v>
      </c>
      <c r="E136" s="62" t="s">
        <v>310</v>
      </c>
      <c r="G136"/>
      <c r="I136" s="53" t="s">
        <v>314</v>
      </c>
      <c r="K136" s="66" t="s">
        <v>318</v>
      </c>
      <c r="L136" s="61" t="s">
        <v>334</v>
      </c>
      <c r="M136" s="61" t="s">
        <v>349</v>
      </c>
      <c r="N136" s="61" t="s">
        <v>357</v>
      </c>
      <c r="O136"/>
      <c r="Q136" s="307" t="s">
        <v>2060</v>
      </c>
    </row>
    <row r="137" spans="3:17" ht="42" customHeight="1">
      <c r="C137" s="62" t="s">
        <v>363</v>
      </c>
      <c r="E137" s="62" t="s">
        <v>311</v>
      </c>
      <c r="F137" s="25"/>
      <c r="I137" s="48"/>
      <c r="J137" s="9"/>
      <c r="K137" s="66" t="s">
        <v>319</v>
      </c>
      <c r="L137" s="61" t="s">
        <v>335</v>
      </c>
      <c r="M137" s="61" t="s">
        <v>350</v>
      </c>
      <c r="N137" s="61" t="s">
        <v>358</v>
      </c>
      <c r="O137"/>
      <c r="Q137" s="307" t="s">
        <v>1955</v>
      </c>
    </row>
    <row r="138" spans="3:17" ht="39" customHeight="1">
      <c r="C138" s="62" t="s">
        <v>303</v>
      </c>
      <c r="E138" s="61" t="s">
        <v>1198</v>
      </c>
      <c r="I138" s="48"/>
      <c r="J138" s="9"/>
      <c r="K138" s="66" t="s">
        <v>320</v>
      </c>
      <c r="L138" s="61" t="s">
        <v>336</v>
      </c>
      <c r="M138" s="61" t="s">
        <v>351</v>
      </c>
      <c r="N138" s="61" t="s">
        <v>359</v>
      </c>
      <c r="O138"/>
      <c r="Q138" s="307" t="s">
        <v>1956</v>
      </c>
    </row>
    <row r="139" spans="3:17" ht="30" customHeight="1">
      <c r="C139" s="62" t="s">
        <v>304</v>
      </c>
      <c r="E139" s="62" t="s">
        <v>362</v>
      </c>
      <c r="F139" s="1062"/>
      <c r="G139" s="1063"/>
      <c r="I139" s="36"/>
      <c r="J139" s="9"/>
      <c r="K139" s="66" t="s">
        <v>321</v>
      </c>
      <c r="L139" s="61" t="s">
        <v>337</v>
      </c>
      <c r="M139" s="61" t="s">
        <v>352</v>
      </c>
      <c r="N139" s="61" t="s">
        <v>360</v>
      </c>
      <c r="O139"/>
      <c r="Q139" s="307" t="s">
        <v>971</v>
      </c>
    </row>
    <row r="140" spans="3:17" ht="30" customHeight="1">
      <c r="C140" s="62" t="s">
        <v>305</v>
      </c>
      <c r="E140" s="1109" t="s">
        <v>1038</v>
      </c>
      <c r="F140" s="1028" t="s">
        <v>1240</v>
      </c>
      <c r="G140" s="1029"/>
      <c r="I140" s="37" t="s">
        <v>1494</v>
      </c>
      <c r="K140" s="66" t="s">
        <v>322</v>
      </c>
      <c r="L140" s="61" t="s">
        <v>338</v>
      </c>
      <c r="M140" s="64"/>
      <c r="N140" s="64"/>
      <c r="O140"/>
      <c r="Q140" s="307" t="s">
        <v>1671</v>
      </c>
    </row>
    <row r="141" spans="3:17" ht="57" customHeight="1">
      <c r="C141" s="62" t="s">
        <v>306</v>
      </c>
      <c r="E141" s="1109"/>
      <c r="F141" s="1028" t="s">
        <v>1240</v>
      </c>
      <c r="G141" s="1029"/>
      <c r="I141" s="37" t="s">
        <v>1495</v>
      </c>
      <c r="K141" s="66" t="s">
        <v>323</v>
      </c>
      <c r="L141" s="61" t="s">
        <v>339</v>
      </c>
      <c r="M141" s="61" t="s">
        <v>1820</v>
      </c>
      <c r="N141" s="61" t="s">
        <v>1810</v>
      </c>
      <c r="O141"/>
      <c r="Q141" s="307" t="s">
        <v>2061</v>
      </c>
    </row>
    <row r="142" spans="3:17" ht="42" customHeight="1">
      <c r="C142" s="62" t="s">
        <v>1311</v>
      </c>
      <c r="E142" s="1109"/>
      <c r="F142" s="1030" t="s">
        <v>1264</v>
      </c>
      <c r="G142" s="1030"/>
      <c r="I142" s="37" t="s">
        <v>1496</v>
      </c>
      <c r="K142" s="66" t="s">
        <v>324</v>
      </c>
      <c r="L142" s="61" t="s">
        <v>340</v>
      </c>
      <c r="M142" s="61"/>
      <c r="N142" s="61"/>
      <c r="O142"/>
      <c r="Q142" s="307" t="s">
        <v>1672</v>
      </c>
    </row>
    <row r="143" spans="3:17" ht="30" customHeight="1">
      <c r="C143" s="62" t="s">
        <v>307</v>
      </c>
      <c r="E143" s="1109"/>
      <c r="F143" s="1043" t="s">
        <v>312</v>
      </c>
      <c r="G143" s="1043"/>
      <c r="I143" s="37" t="s">
        <v>1497</v>
      </c>
      <c r="K143" s="66" t="s">
        <v>325</v>
      </c>
      <c r="L143" s="61" t="s">
        <v>341</v>
      </c>
      <c r="M143" s="61"/>
      <c r="N143" s="61"/>
      <c r="O143"/>
      <c r="Q143" s="307" t="s">
        <v>980</v>
      </c>
    </row>
    <row r="144" spans="3:17" ht="48" customHeight="1">
      <c r="C144" s="62" t="s">
        <v>308</v>
      </c>
      <c r="E144" s="1109"/>
      <c r="F144" s="1043" t="s">
        <v>1177</v>
      </c>
      <c r="G144" s="1043"/>
      <c r="I144" s="37" t="s">
        <v>1498</v>
      </c>
      <c r="K144" s="66" t="s">
        <v>326</v>
      </c>
      <c r="L144" s="61" t="s">
        <v>342</v>
      </c>
      <c r="M144" s="1115" t="s">
        <v>2090</v>
      </c>
      <c r="N144" s="1116"/>
      <c r="O144"/>
      <c r="Q144" s="307" t="s">
        <v>1673</v>
      </c>
    </row>
    <row r="145" spans="2:21" ht="45" customHeight="1">
      <c r="C145" s="62" t="s">
        <v>309</v>
      </c>
      <c r="E145" s="1109"/>
      <c r="F145" s="1030" t="s">
        <v>361</v>
      </c>
      <c r="G145" s="1030"/>
      <c r="I145" s="37" t="s">
        <v>1499</v>
      </c>
      <c r="K145" s="66" t="s">
        <v>327</v>
      </c>
      <c r="L145" s="61" t="s">
        <v>343</v>
      </c>
      <c r="M145" s="1079"/>
      <c r="N145" s="1080"/>
      <c r="O145"/>
      <c r="Q145" s="307" t="s">
        <v>953</v>
      </c>
    </row>
    <row r="146" spans="2:21" ht="45" customHeight="1">
      <c r="B146" s="18"/>
      <c r="C146" s="18"/>
      <c r="D146" s="19"/>
      <c r="E146" s="20"/>
      <c r="F146" s="21"/>
      <c r="G146" s="22"/>
      <c r="H146" s="18"/>
      <c r="I146" s="23"/>
      <c r="J146" s="24"/>
      <c r="K146" s="23"/>
      <c r="L146" s="20"/>
      <c r="M146" s="20"/>
      <c r="N146" s="20"/>
      <c r="O146" s="20"/>
    </row>
    <row r="147" spans="2:21" s="4" customFormat="1" ht="165" customHeight="1">
      <c r="C147" s="1056" t="s">
        <v>1187</v>
      </c>
      <c r="D147" s="1056"/>
      <c r="E147" s="1056"/>
      <c r="F147" s="1056"/>
      <c r="G147" s="1056"/>
      <c r="I147" s="30" t="s">
        <v>86</v>
      </c>
      <c r="J147" s="2"/>
      <c r="K147" s="46" t="s">
        <v>157</v>
      </c>
      <c r="L147" s="1124" t="s">
        <v>364</v>
      </c>
      <c r="M147" s="1124"/>
      <c r="N147" s="97" t="s">
        <v>1055</v>
      </c>
      <c r="P147" s="287" t="s">
        <v>1928</v>
      </c>
      <c r="Q147" s="288"/>
      <c r="R147" s="288"/>
      <c r="S147" s="288"/>
      <c r="T147" s="288"/>
      <c r="U147" s="289"/>
    </row>
    <row r="148" spans="2:21" ht="55" customHeight="1">
      <c r="C148" s="1056"/>
      <c r="D148" s="1056"/>
      <c r="E148" s="1056"/>
      <c r="F148" s="1056"/>
      <c r="G148" s="1056"/>
      <c r="I148" s="1081" t="s">
        <v>378</v>
      </c>
      <c r="J148" s="1082"/>
      <c r="K148" s="1083"/>
      <c r="L148" s="90" t="s">
        <v>392</v>
      </c>
      <c r="M148" s="91" t="s">
        <v>1322</v>
      </c>
      <c r="N148" s="91" t="s">
        <v>1313</v>
      </c>
      <c r="O148" s="1" t="s">
        <v>1050</v>
      </c>
      <c r="P148" s="196"/>
    </row>
    <row r="149" spans="2:21" ht="45" customHeight="1">
      <c r="C149" s="1070" t="s">
        <v>1067</v>
      </c>
      <c r="D149" s="1071"/>
      <c r="E149" s="1071"/>
      <c r="F149" s="1071"/>
      <c r="G149" s="1072"/>
      <c r="I149" s="1081" t="s">
        <v>1119</v>
      </c>
      <c r="J149" s="1082"/>
      <c r="K149" s="1083"/>
      <c r="L149" s="90" t="s">
        <v>1120</v>
      </c>
      <c r="M149" s="91" t="s">
        <v>1323</v>
      </c>
      <c r="N149" s="91" t="s">
        <v>1314</v>
      </c>
      <c r="O149" s="1" t="s">
        <v>1051</v>
      </c>
      <c r="P149" s="239" t="s">
        <v>2091</v>
      </c>
    </row>
    <row r="150" spans="2:21" ht="50" customHeight="1">
      <c r="C150" s="1073"/>
      <c r="D150" s="1074"/>
      <c r="E150" s="1074"/>
      <c r="F150" s="1074"/>
      <c r="G150" s="1075"/>
      <c r="I150" s="1081" t="s">
        <v>1054</v>
      </c>
      <c r="J150" s="1082"/>
      <c r="K150" s="1083"/>
      <c r="L150" s="90" t="s">
        <v>392</v>
      </c>
      <c r="M150" s="91" t="s">
        <v>1324</v>
      </c>
      <c r="N150" s="91" t="s">
        <v>1315</v>
      </c>
      <c r="O150" s="1" t="s">
        <v>1052</v>
      </c>
      <c r="P150" s="199" t="s">
        <v>2092</v>
      </c>
    </row>
    <row r="151" spans="2:21" ht="35" customHeight="1">
      <c r="C151" s="1073"/>
      <c r="D151" s="1074"/>
      <c r="E151" s="1074"/>
      <c r="F151" s="1074"/>
      <c r="G151" s="1075"/>
      <c r="H151" s="134" t="s">
        <v>1233</v>
      </c>
      <c r="I151" s="62" t="s">
        <v>1224</v>
      </c>
      <c r="J151" s="4"/>
      <c r="K151" s="187" t="s">
        <v>1973</v>
      </c>
      <c r="L151" s="182" t="s">
        <v>2093</v>
      </c>
      <c r="M151" s="187" t="s">
        <v>1593</v>
      </c>
      <c r="N151" s="184" t="s">
        <v>2094</v>
      </c>
      <c r="P151" s="199" t="s">
        <v>2095</v>
      </c>
    </row>
    <row r="152" spans="2:21" ht="35" customHeight="1">
      <c r="C152" s="1073"/>
      <c r="D152" s="1074"/>
      <c r="E152" s="1074"/>
      <c r="F152" s="1074"/>
      <c r="G152" s="1075"/>
      <c r="H152" s="134" t="s">
        <v>1234</v>
      </c>
      <c r="I152" s="62" t="s">
        <v>1225</v>
      </c>
      <c r="J152" s="4"/>
      <c r="K152" s="184" t="s">
        <v>2096</v>
      </c>
      <c r="L152" s="183" t="s">
        <v>1591</v>
      </c>
      <c r="M152" s="188" t="s">
        <v>1608</v>
      </c>
      <c r="N152" s="184" t="s">
        <v>1617</v>
      </c>
      <c r="P152" s="199" t="s">
        <v>1641</v>
      </c>
      <c r="Q152" s="188"/>
    </row>
    <row r="153" spans="2:21" ht="35" customHeight="1">
      <c r="C153" s="1073"/>
      <c r="D153" s="1074"/>
      <c r="E153" s="1074"/>
      <c r="F153" s="1074"/>
      <c r="G153" s="1075"/>
      <c r="H153" s="136" t="s">
        <v>1235</v>
      </c>
      <c r="I153" s="62" t="s">
        <v>1226</v>
      </c>
      <c r="J153" s="4"/>
      <c r="K153" s="187" t="s">
        <v>1592</v>
      </c>
      <c r="L153" s="4"/>
      <c r="M153" s="188" t="s">
        <v>1757</v>
      </c>
      <c r="N153" s="250" t="s">
        <v>1935</v>
      </c>
      <c r="P153" s="305" t="s">
        <v>1642</v>
      </c>
      <c r="Q153" s="307" t="s">
        <v>2062</v>
      </c>
    </row>
    <row r="154" spans="2:21" ht="36" customHeight="1">
      <c r="C154" s="1076"/>
      <c r="D154" s="1077"/>
      <c r="E154" s="1077"/>
      <c r="F154" s="1077"/>
      <c r="G154" s="1078"/>
      <c r="H154" s="134" t="s">
        <v>1236</v>
      </c>
      <c r="I154" s="148" t="s">
        <v>1272</v>
      </c>
      <c r="K154" s="134" t="s">
        <v>1832</v>
      </c>
      <c r="L154" s="61" t="s">
        <v>393</v>
      </c>
      <c r="M154" s="61" t="s">
        <v>408</v>
      </c>
      <c r="N154" s="61" t="s">
        <v>417</v>
      </c>
      <c r="O154"/>
      <c r="P154" s="306" t="s">
        <v>1643</v>
      </c>
      <c r="Q154" s="307" t="s">
        <v>1989</v>
      </c>
    </row>
    <row r="155" spans="2:21" ht="36" customHeight="1">
      <c r="E155" s="61" t="s">
        <v>1797</v>
      </c>
      <c r="F155"/>
      <c r="H155" s="134" t="s">
        <v>1237</v>
      </c>
      <c r="I155" s="62" t="s">
        <v>1254</v>
      </c>
      <c r="K155" s="86" t="s">
        <v>1301</v>
      </c>
      <c r="L155" s="64"/>
      <c r="M155" s="64"/>
      <c r="N155" s="64"/>
      <c r="O155"/>
      <c r="Q155" s="307" t="s">
        <v>2063</v>
      </c>
    </row>
    <row r="156" spans="2:21" ht="35" customHeight="1">
      <c r="C156" s="200" t="s">
        <v>1680</v>
      </c>
      <c r="D156" s="29"/>
      <c r="E156" s="61" t="s">
        <v>1062</v>
      </c>
      <c r="F156"/>
      <c r="H156" s="134" t="s">
        <v>1238</v>
      </c>
      <c r="I156" s="62" t="s">
        <v>1255</v>
      </c>
      <c r="K156" s="48" t="s">
        <v>1273</v>
      </c>
      <c r="L156" s="61" t="s">
        <v>394</v>
      </c>
      <c r="M156" s="61" t="s">
        <v>409</v>
      </c>
      <c r="N156" s="61" t="s">
        <v>418</v>
      </c>
      <c r="O156"/>
      <c r="Q156" s="307" t="s">
        <v>1674</v>
      </c>
    </row>
    <row r="157" spans="2:21" ht="34" customHeight="1">
      <c r="C157" s="200" t="s">
        <v>1680</v>
      </c>
      <c r="D157" s="29"/>
      <c r="E157" s="82" t="s">
        <v>1807</v>
      </c>
      <c r="F157"/>
      <c r="H157" s="134" t="s">
        <v>1239</v>
      </c>
      <c r="I157" s="62" t="s">
        <v>1227</v>
      </c>
      <c r="K157" s="45" t="s">
        <v>1228</v>
      </c>
      <c r="L157" s="61" t="s">
        <v>395</v>
      </c>
      <c r="M157" s="61" t="s">
        <v>410</v>
      </c>
      <c r="N157" s="61" t="s">
        <v>418</v>
      </c>
      <c r="O157"/>
      <c r="Q157" s="307" t="s">
        <v>1675</v>
      </c>
    </row>
    <row r="158" spans="2:21" ht="38" customHeight="1">
      <c r="C158" s="106" t="s">
        <v>1190</v>
      </c>
      <c r="E158" s="61" t="s">
        <v>380</v>
      </c>
      <c r="H158" s="134" t="s">
        <v>1266</v>
      </c>
      <c r="I158" s="62" t="s">
        <v>1442</v>
      </c>
      <c r="K158" s="66" t="s">
        <v>381</v>
      </c>
      <c r="L158" s="61" t="s">
        <v>396</v>
      </c>
      <c r="M158" s="61" t="s">
        <v>411</v>
      </c>
      <c r="N158" s="61" t="s">
        <v>419</v>
      </c>
      <c r="O158"/>
      <c r="Q158" s="307" t="s">
        <v>1676</v>
      </c>
    </row>
    <row r="159" spans="2:21" ht="39" customHeight="1">
      <c r="C159" s="82" t="s">
        <v>1132</v>
      </c>
      <c r="E159" s="134" t="s">
        <v>1200</v>
      </c>
      <c r="I159" s="68" t="s">
        <v>1793</v>
      </c>
      <c r="K159" s="67"/>
      <c r="L159" s="61" t="s">
        <v>397</v>
      </c>
      <c r="M159" s="61" t="s">
        <v>412</v>
      </c>
      <c r="N159" s="61" t="s">
        <v>420</v>
      </c>
      <c r="O159"/>
      <c r="Q159" s="307" t="s">
        <v>2064</v>
      </c>
    </row>
    <row r="160" spans="2:21" ht="42" customHeight="1">
      <c r="C160" s="102" t="s">
        <v>365</v>
      </c>
      <c r="E160" s="99" t="s">
        <v>374</v>
      </c>
      <c r="I160" s="61" t="s">
        <v>379</v>
      </c>
      <c r="K160" s="66" t="s">
        <v>382</v>
      </c>
      <c r="L160" s="61" t="s">
        <v>398</v>
      </c>
      <c r="M160" s="61" t="s">
        <v>413</v>
      </c>
      <c r="N160" s="61" t="s">
        <v>421</v>
      </c>
      <c r="O160"/>
      <c r="Q160" s="307" t="s">
        <v>2065</v>
      </c>
    </row>
    <row r="161" spans="2:21" ht="42" customHeight="1">
      <c r="C161" s="66" t="s">
        <v>366</v>
      </c>
      <c r="E161" s="61" t="s">
        <v>375</v>
      </c>
      <c r="F161" s="25"/>
      <c r="I161" s="64"/>
      <c r="J161" s="9"/>
      <c r="K161" s="66" t="s">
        <v>383</v>
      </c>
      <c r="L161" s="61" t="s">
        <v>399</v>
      </c>
      <c r="M161" s="61" t="s">
        <v>414</v>
      </c>
      <c r="N161" s="61" t="s">
        <v>422</v>
      </c>
      <c r="O161"/>
      <c r="Q161" s="307" t="s">
        <v>1957</v>
      </c>
    </row>
    <row r="162" spans="2:21" ht="39" customHeight="1">
      <c r="C162" s="66" t="s">
        <v>367</v>
      </c>
      <c r="E162" s="61" t="s">
        <v>1199</v>
      </c>
      <c r="I162" s="64"/>
      <c r="J162" s="9"/>
      <c r="K162" s="66" t="s">
        <v>384</v>
      </c>
      <c r="L162" s="61" t="s">
        <v>400</v>
      </c>
      <c r="M162" s="61" t="s">
        <v>415</v>
      </c>
      <c r="N162" s="61" t="s">
        <v>423</v>
      </c>
      <c r="O162"/>
      <c r="Q162" s="307" t="s">
        <v>1958</v>
      </c>
    </row>
    <row r="163" spans="2:21" ht="30" customHeight="1">
      <c r="C163" s="66" t="s">
        <v>368</v>
      </c>
      <c r="E163" s="61" t="s">
        <v>432</v>
      </c>
      <c r="F163" s="1062"/>
      <c r="G163" s="1063"/>
      <c r="I163" s="36"/>
      <c r="J163" s="9"/>
      <c r="K163" s="66" t="s">
        <v>385</v>
      </c>
      <c r="L163" s="61" t="s">
        <v>401</v>
      </c>
      <c r="M163" s="61" t="s">
        <v>416</v>
      </c>
      <c r="N163" s="61" t="s">
        <v>424</v>
      </c>
      <c r="O163"/>
      <c r="Q163" s="307" t="s">
        <v>972</v>
      </c>
    </row>
    <row r="164" spans="2:21" ht="30" customHeight="1">
      <c r="C164" s="66" t="s">
        <v>369</v>
      </c>
      <c r="E164" s="1053" t="s">
        <v>1039</v>
      </c>
      <c r="F164" s="1032" t="s">
        <v>1256</v>
      </c>
      <c r="G164" s="1033"/>
      <c r="I164" s="37" t="s">
        <v>1500</v>
      </c>
      <c r="J164"/>
      <c r="K164" s="66" t="s">
        <v>386</v>
      </c>
      <c r="L164" s="61" t="s">
        <v>402</v>
      </c>
      <c r="M164" s="64"/>
      <c r="N164" s="64"/>
      <c r="O164"/>
      <c r="Q164" s="307" t="s">
        <v>1677</v>
      </c>
    </row>
    <row r="165" spans="2:21" ht="62" customHeight="1">
      <c r="C165" s="66" t="s">
        <v>370</v>
      </c>
      <c r="E165" s="1054"/>
      <c r="F165" s="1032" t="s">
        <v>1256</v>
      </c>
      <c r="G165" s="1033"/>
      <c r="I165" s="37" t="s">
        <v>1501</v>
      </c>
      <c r="J165"/>
      <c r="K165" s="66" t="s">
        <v>387</v>
      </c>
      <c r="L165" s="61" t="s">
        <v>403</v>
      </c>
      <c r="M165" s="61" t="s">
        <v>1821</v>
      </c>
      <c r="N165" s="61" t="s">
        <v>1809</v>
      </c>
      <c r="O165"/>
      <c r="Q165" s="307" t="s">
        <v>2066</v>
      </c>
    </row>
    <row r="166" spans="2:21" ht="36" customHeight="1">
      <c r="C166" s="66" t="s">
        <v>1312</v>
      </c>
      <c r="E166" s="1054"/>
      <c r="F166" s="1030" t="s">
        <v>1265</v>
      </c>
      <c r="G166" s="1030"/>
      <c r="I166" s="37" t="s">
        <v>1502</v>
      </c>
      <c r="J166"/>
      <c r="K166" s="66" t="s">
        <v>388</v>
      </c>
      <c r="L166" s="61" t="s">
        <v>404</v>
      </c>
      <c r="M166" s="61"/>
      <c r="N166" s="61"/>
      <c r="O166"/>
      <c r="Q166" s="307" t="s">
        <v>1678</v>
      </c>
    </row>
    <row r="167" spans="2:21" ht="30" customHeight="1">
      <c r="C167" s="66" t="s">
        <v>371</v>
      </c>
      <c r="E167" s="1054"/>
      <c r="F167" s="1043" t="s">
        <v>376</v>
      </c>
      <c r="G167" s="1043"/>
      <c r="I167" s="37" t="s">
        <v>1503</v>
      </c>
      <c r="J167"/>
      <c r="K167" s="66" t="s">
        <v>389</v>
      </c>
      <c r="L167" s="61" t="s">
        <v>405</v>
      </c>
      <c r="M167" s="61"/>
      <c r="N167" s="61"/>
      <c r="O167"/>
      <c r="Q167" s="307" t="s">
        <v>981</v>
      </c>
    </row>
    <row r="168" spans="2:21" ht="48" customHeight="1">
      <c r="C168" s="66" t="s">
        <v>372</v>
      </c>
      <c r="E168" s="1054"/>
      <c r="F168" s="1043" t="s">
        <v>1176</v>
      </c>
      <c r="G168" s="1043"/>
      <c r="I168" s="37" t="s">
        <v>1504</v>
      </c>
      <c r="J168"/>
      <c r="K168" s="66" t="s">
        <v>390</v>
      </c>
      <c r="L168" s="61" t="s">
        <v>406</v>
      </c>
      <c r="M168" s="1115" t="s">
        <v>2097</v>
      </c>
      <c r="N168" s="1116"/>
      <c r="O168"/>
      <c r="Q168" s="307" t="s">
        <v>1679</v>
      </c>
    </row>
    <row r="169" spans="2:21" ht="45" customHeight="1">
      <c r="C169" s="66" t="s">
        <v>373</v>
      </c>
      <c r="E169" s="1055"/>
      <c r="F169" s="1030" t="s">
        <v>377</v>
      </c>
      <c r="G169" s="1030"/>
      <c r="I169" s="37" t="s">
        <v>1505</v>
      </c>
      <c r="J169"/>
      <c r="K169" s="66" t="s">
        <v>391</v>
      </c>
      <c r="L169" s="61" t="s">
        <v>407</v>
      </c>
      <c r="M169" s="1079"/>
      <c r="N169" s="1080"/>
      <c r="O169"/>
      <c r="Q169" s="307" t="s">
        <v>954</v>
      </c>
    </row>
    <row r="170" spans="2:21" ht="45" customHeight="1">
      <c r="B170" s="18"/>
      <c r="C170" s="18"/>
      <c r="D170" s="19"/>
      <c r="E170" s="20"/>
      <c r="F170" s="21"/>
      <c r="G170" s="22"/>
      <c r="H170" s="18"/>
      <c r="I170" s="23"/>
      <c r="J170" s="24"/>
      <c r="K170" s="23"/>
      <c r="L170" s="20"/>
      <c r="M170" s="20"/>
      <c r="N170" s="20"/>
      <c r="O170" s="20"/>
    </row>
    <row r="171" spans="2:21" s="4" customFormat="1" ht="178" customHeight="1" outlineLevel="1">
      <c r="C171" s="1039" t="str">
        <f>IF(Settings!$D$15=$O$186,C147,IF(Settings!$D$15=$O$187,C123,IF(Settings!$D$15=$O$188,C99,IF(Settings!$D$15=$O$185,C75,IF(Settings!$D$15=$O$184,C51,IF(Settings!$D$15=$O$183,C27,C3))))))</f>
        <v xml:space="preserve">
Ukraine's economic and environmental progress has been under attack since the start of the large-scale aggression by Russia, setting back hopes for an independent, green and sustainable Ukraine. Tens of thousands of lives have been lost and the associated humanitarian crisis has led to a large number of besieged and displaced people both within Ukraine and abroad.8 The economic impacts have also been significant. Recent estimates of the damage to infrastructure, housing and non-residential buildings exceed USD 100 billion, with vast destruction of homes, roads and railways, as well as agricultural land and other productive capacity of the country
Ukraine has seen levels of waste dramatically increase because of military operations. This includes military vehicles and equipment that are damaged or abandoned, shell fragments, civilian vehicles and building debris. There is also uncollected household and medical waste...Some of this waste is toxic and will need special handling, transport and disposal...for example, medical waste and shell fragments. Building debris can also contain toxic substances like asbestos...
     Source:  How has the war impacted Ukraine’s environment?; OECD July 25, 2022</v>
      </c>
      <c r="D171" s="1039"/>
      <c r="E171" s="1039"/>
      <c r="F171" s="1039"/>
      <c r="G171" s="1039"/>
      <c r="I171" s="138" t="s">
        <v>1060</v>
      </c>
      <c r="J171" s="105"/>
      <c r="K171" s="101" t="str">
        <f>"Language version selected is "&amp;Settings!D15</f>
        <v>Language version selected is English</v>
      </c>
      <c r="L171" s="1120" t="str">
        <f>IF(Settings!$D$15=$O$186,L147,IF(Settings!$D$15=$O$187,L123,IF(Settings!$D$15=$O$188,L99,IF(Settings!$D$15=$O$185,L75,IF(Settings!$D$15=$O$184,L51,IF(Settings!$D$15=$O$183,L27,L3))))))</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M171" s="1121"/>
      <c r="N171" s="98" t="str">
        <f>IF(Settings!$D$15=$O$186,N147,IF(Settings!$D$15=$O$187,N123,IF(Settings!$D$15=$O$188,N99,IF(Settings!$D$15=$O$185,N75,IF(Settings!$D$15=$O$184,N51,IF(Settings!$D$15=$O$183,N27,N3))))))</f>
        <v>Text boxes in this section with this colour contain alternative titles used in this version of the file. Enter new titles in the cells below of the same colour.</v>
      </c>
      <c r="P171" s="286" t="str">
        <f>IF(Settings!$D$15=$O$186,L147,IF(Settings!$D$15=$O$187,L123,IF(Settings!$D$15=$O$188,L99,IF(Settings!$D$15=$O$185,L75,IF(Settings!$D$15=$O$184,L51,IF(Settings!$D$15=$O$183,L27,L3))))))</f>
        <v>This file is under development by  about a dozen iiSBE and other colleagues in several central European countries with an interest in sustainable reconstruction of Ukraine. The file is meant to provide organisations closer to the scene with a way of describing the damage from war activities and approaches to reconstruction in a simplfied way. 
The file is structured in a way that will also enable it to be used to characterise damage caused by other factors, such as flooding, windstorm, fire and earthquake events. The file will be linked to a version of the iiSBE tools that are designed to establish sustainability performance targets for neighbourhood (SNTool) or buildings (SBTool).</v>
      </c>
      <c r="Q171" s="290"/>
      <c r="R171" s="290"/>
      <c r="S171" s="290"/>
      <c r="T171" s="290"/>
      <c r="U171" s="84"/>
    </row>
    <row r="172" spans="2:21" s="4" customFormat="1" ht="38" customHeight="1" outlineLevel="1">
      <c r="C172" s="1039"/>
      <c r="D172" s="1039"/>
      <c r="E172" s="1039"/>
      <c r="F172" s="1039"/>
      <c r="G172" s="1039"/>
      <c r="I172" s="246"/>
      <c r="J172" s="247"/>
      <c r="K172" s="248"/>
      <c r="L172" s="235"/>
      <c r="M172" s="236"/>
      <c r="N172" s="31"/>
      <c r="P172" s="172"/>
      <c r="R172" s="256"/>
      <c r="S172" s="256"/>
      <c r="T172" s="256"/>
      <c r="U172" s="96"/>
    </row>
    <row r="173" spans="2:21" ht="46" customHeight="1" outlineLevel="1">
      <c r="B173" s="8"/>
      <c r="C173" s="1039"/>
      <c r="D173" s="1039"/>
      <c r="E173" s="1039"/>
      <c r="F173" s="1039"/>
      <c r="G173" s="1039"/>
      <c r="H173" s="89"/>
      <c r="I173" s="1103" t="str">
        <f>IF(Settings!$D$15=$O$186,I148,IF(Settings!$D$15=$O$187,I124,IF(Settings!$D$15=$O$188,I100,IF(Settings!$D$15=$O$185,I76,IF(Settings!$D$15=$O$184,I52,IF(Settings!$D$15=$O$183,I28,I4))))))</f>
        <v>Damage Assessments for Sustainable Reconstruction in Ukraine</v>
      </c>
      <c r="J173" s="1104"/>
      <c r="K173" s="1105"/>
      <c r="L173" s="26" t="str">
        <f>IF(Settings!$D$15=$O$186,L148,IF(Settings!$D$15=$O$187,L124,IF(Settings!$D$15=$O$188,L100,IF(Settings!$D$15=$O$185,L76,IF(Settings!$D$15=$O$184,L52,IF(Settings!$D$15=$O$183,L28,L4))))))</f>
        <v>Task: Damage Assessments</v>
      </c>
      <c r="M173" s="31" t="str">
        <f>IF(Settings!$D$15=$O$186,M148,IF(Settings!$D$15=$O$187,M124,IF(Settings!$D$15=$O$188,M100,IF(Settings!$D$15=$O$185,M76,IF(Settings!$D$15=$O$184,M52,IF(Settings!$D$15=$O$183,M28,M4))))))</f>
        <v>Sustainable Reconstruction in Ukraine</v>
      </c>
      <c r="N173" s="31" t="str">
        <f>IF(Settings!$D$15=$O$186,N148,IF(Settings!$D$15=$O$187,N124,IF(Settings!$D$15=$O$188,N100,IF(Settings!$D$15=$O$185,N76,IF(Settings!$D$15=$O$184,N52,IF(Settings!$D$15=$O$183,N28,N4))))))</f>
        <v>Irpin urban area</v>
      </c>
      <c r="O173" s="1" t="s">
        <v>1050</v>
      </c>
      <c r="P173" s="31" t="str">
        <f>IF(Settings!$D$15=$O$186,P149,IF(Settings!$D$15=$O$187,P125,IF(Settings!$D$15=$O$188,P101,IF(Settings!$D$15=$O$185,P77,IF(Settings!$D$15=$O$184,P53,IF(Settings!$D$15=$O$183,P29,P5))))))</f>
        <v>All urban asset types</v>
      </c>
      <c r="U173" s="149" t="s">
        <v>2103</v>
      </c>
    </row>
    <row r="174" spans="2:21" ht="46" customHeight="1" outlineLevel="1">
      <c r="B174" s="8"/>
      <c r="C174" s="1044" t="str">
        <f>IF(Settings!$D$15=$O$186,C149,IF(Settings!$D$15=$O$187,C125,IF(Settings!$D$15=$O$188,C101,IF(Settings!$D$15=$O$185,C77,IF(Settings!$D$15=$O$184,C53,IF(Settings!$D$15=$O$183,C29,C5))))))</f>
        <v>Causal factors related to climate change, earthquakes or other natural phenomena
Sea Level rise / storm surges
Riverine flooding / heavy rain
Hurricane / cyclone
Urban heat island
Chemical or radiation accidents
Drought
Wildfire
Earthquake</v>
      </c>
      <c r="D174" s="1045"/>
      <c r="E174" s="1045"/>
      <c r="F174" s="1045"/>
      <c r="G174" s="1046"/>
      <c r="H174" s="89"/>
      <c r="I174" s="1103" t="str">
        <f>IF(Settings!$D$15=$O$186,I149,IF(Settings!$D$15=$O$187,I125,IF(Settings!$D$15=$O$188,I101,IF(Settings!$D$15=$O$185,I77,IF(Settings!$D$15=$O$184,I53,IF(Settings!$D$15=$O$183,I29,I5))))))</f>
        <v>Damage Assessments for Post-earthquake reconstruction in Chile</v>
      </c>
      <c r="J174" s="1104"/>
      <c r="K174" s="1105"/>
      <c r="L174" s="26" t="str">
        <f>IF(Settings!$D$15=$O$186,L149,IF(Settings!$D$15=$O$187,L125,IF(Settings!$D$15=$O$188,L101,IF(Settings!$D$15=$O$185,L77,IF(Settings!$D$15=$O$184,L53,IF(Settings!$D$15=$O$183,L29,L5))))))</f>
        <v>Task: Damage Assessments</v>
      </c>
      <c r="M174" s="31" t="str">
        <f>IF(Settings!$D$15=$O$186,M149,IF(Settings!$D$15=$O$187,M125,IF(Settings!$D$15=$O$188,M101,IF(Settings!$D$15=$O$185,M77,IF(Settings!$D$15=$O$184,M53,IF(Settings!$D$15=$O$183,M29,M5))))))</f>
        <v>Sustainable Reconstruction in Chile</v>
      </c>
      <c r="N174" s="31" t="str">
        <f>IF(Settings!$D$15=$O$186,N149,IF(Settings!$D$15=$O$187,N125,IF(Settings!$D$15=$O$188,N101,IF(Settings!$D$15=$O$185,N77,IF(Settings!$D$15=$O$184,N53,IF(Settings!$D$15=$O$183,N29,N5))))))</f>
        <v>Temuco, Chile</v>
      </c>
      <c r="O174" s="1" t="s">
        <v>1051</v>
      </c>
      <c r="P174" s="31" t="str">
        <f>IF(Settings!$D$15=$O$186,P150,IF(Settings!$D$15=$O$187,P126,IF(Settings!$D$15=$O$188,P102,IF(Settings!$D$15=$O$185,P78,IF(Settings!$D$15=$O$184,P54,IF(Settings!$D$15=$O$183,P30,P6))))))</f>
        <v>All assets in Category</v>
      </c>
      <c r="U174" s="149" t="s">
        <v>2102</v>
      </c>
    </row>
    <row r="175" spans="2:21" ht="49" customHeight="1" outlineLevel="1">
      <c r="B175" s="8"/>
      <c r="C175" s="1047"/>
      <c r="D175" s="1048"/>
      <c r="E175" s="1048"/>
      <c r="F175" s="1048"/>
      <c r="G175" s="1049"/>
      <c r="H175" s="89"/>
      <c r="I175" s="1103" t="str">
        <f>IF(Settings!$D$15=$O$186,I150,IF(Settings!$D$15=$O$187,I126,IF(Settings!$D$15=$O$188,I102,IF(Settings!$D$15=$O$185,I78,IF(Settings!$D$15=$O$184,I54,IF(Settings!$D$15=$O$183,I30,I6))))))</f>
        <v>Damage Assessments for Post-hurricane Reconstruction</v>
      </c>
      <c r="J175" s="1104"/>
      <c r="K175" s="1105"/>
      <c r="L175" s="26" t="str">
        <f>IF(Settings!$D$15=$O$186,L150,IF(Settings!$D$15=$O$187,L126,IF(Settings!$D$15=$O$188,L102,IF(Settings!$D$15=$O$185,L78,IF(Settings!$D$15=$O$184,L54,IF(Settings!$D$15=$O$183,L30,L6))))))</f>
        <v>Task: Damage Assessments</v>
      </c>
      <c r="M175" s="31" t="str">
        <f>IF(Settings!$D$15=$O$186,M150,IF(Settings!$D$15=$O$187,M126,IF(Settings!$D$15=$O$188,M102,IF(Settings!$D$15=$O$185,M78,IF(Settings!$D$15=$O$184,M54,IF(Settings!$D$15=$O$183,M30,M6))))))</f>
        <v>Sustainable Reconstruction in Maritime Provinces</v>
      </c>
      <c r="N175" s="31" t="str">
        <f>IF(Settings!$D$15=$O$186,N150,IF(Settings!$D$15=$O$187,N126,IF(Settings!$D$15=$O$188,N102,IF(Settings!$D$15=$O$185,N78,IF(Settings!$D$15=$O$184,N54,IF(Settings!$D$15=$O$183,N30,N6))))))</f>
        <v>Maritime Provinces, Canada</v>
      </c>
      <c r="O175" s="1" t="s">
        <v>1052</v>
      </c>
      <c r="P175" s="31" t="str">
        <f>IF(Settings!$D$15=$O$186,P151,IF(Settings!$D$15=$O$187,P127,IF(Settings!$D$15=$O$188,P103,IF(Settings!$D$15=$O$185,P79,IF(Settings!$D$15=$O$184,P55,IF(Settings!$D$15=$O$183,P31,P7))))))</f>
        <v>Multi-node network</v>
      </c>
      <c r="U175" s="149" t="s">
        <v>2101</v>
      </c>
    </row>
    <row r="176" spans="2:21" ht="36" customHeight="1" outlineLevel="1">
      <c r="B176" s="8"/>
      <c r="C176" s="1047"/>
      <c r="D176" s="1048"/>
      <c r="E176" s="1048"/>
      <c r="F176" s="1048"/>
      <c r="G176" s="1049"/>
      <c r="H176" s="89"/>
      <c r="I176" s="104"/>
      <c r="K176" s="26" t="str">
        <f>IF(Settings!$D$15=$O$186,K151,IF(Settings!$D$15=$O$187,K127,IF(Settings!$D$15=$O$188,K103,IF(Settings!$D$15=$O$185,K79,IF(Settings!$D$15=$O$184,K55,IF(Settings!$D$15=$O$183,K31,K7))))))</f>
        <v>Approx. total repair costs, m. Euro</v>
      </c>
      <c r="L176" s="26" t="str">
        <f>IF(Settings!$D$15=$O$186,L151,IF(Settings!$D$15=$O$187,L127,IF(Settings!$D$15=$O$188,L103,IF(Settings!$D$15=$O$185,L79,IF(Settings!$D$15=$O$184,L55,IF(Settings!$D$15=$O$183,L31,L7))))))</f>
        <v>Damaged urban assets</v>
      </c>
      <c r="M176" s="26" t="str">
        <f>IF(Settings!$D$15=$O$186,M151,IF(Settings!$D$15=$O$187,M127,IF(Settings!$D$15=$O$188,M103,IF(Settings!$D$15=$O$185,M79,IF(Settings!$D$15=$O$184,M55,IF(Settings!$D$15=$O$183,M31,M7))))))</f>
        <v>Est. repair cost</v>
      </c>
      <c r="N176" s="31" t="str">
        <f>IF(Settings!$D$15=$O$186,N151,IF(Settings!$D$15=$O$187,N127,IF(Settings!$D$15=$O$188,N103,IF(Settings!$D$15=$O$185,N79,IF(Settings!$D$15=$O$184,N55,IF(Settings!$D$15=$O$183,N31,N7))))))</f>
        <v>Information on main asset &amp; sub-assets</v>
      </c>
      <c r="O176" s="1"/>
      <c r="P176" s="31" t="str">
        <f>IF(Settings!$D$15=$O$186,P151,IF(Settings!$D$15=$O$187,P127,IF(Settings!$D$15=$O$188,P103,IF(Settings!$D$15=$O$185,P79,IF(Settings!$D$15=$O$184,P55,IF(Settings!$D$15=$O$183,P31,P8))))))</f>
        <v>Single urban asset</v>
      </c>
      <c r="U176" s="149" t="s">
        <v>2100</v>
      </c>
    </row>
    <row r="177" spans="2:21" ht="42" customHeight="1" outlineLevel="1">
      <c r="B177" s="8"/>
      <c r="C177" s="1047"/>
      <c r="D177" s="1048"/>
      <c r="E177" s="1048"/>
      <c r="F177" s="1048"/>
      <c r="G177" s="1049"/>
      <c r="H177" s="144" t="s">
        <v>1233</v>
      </c>
      <c r="I177" s="104" t="str">
        <f>IF(Settings!$D$15=$O$186,I151,IF(Settings!$D$15=$O$187,I127,IF(Settings!$D$15=$O$188,I103,IF(Settings!$D$15=$O$185,I79,IF(Settings!$D$15=$O$184,I55,IF(Settings!$D$15=$O$183,I31,I7))))))</f>
        <v>Social, Cultural &amp; Perceptual</v>
      </c>
      <c r="K177" s="26" t="str">
        <f>IF(Settings!$D$15=$O$186,K152,IF(Settings!$D$15=$O$187,K128,IF(Settings!$D$15=$O$188,K104,IF(Settings!$D$15=$O$185,K80,IF(Settings!$D$15=$O$184,K56,IF(Settings!$D$15=$O$183,K32,K8))))))</f>
        <v>Approx. repair costs, priority 4 &amp; 5 assets, m. Euro</v>
      </c>
      <c r="L177" s="26" t="str">
        <f>IF(Settings!$D$15=$O$186,L152,IF(Settings!$D$15=$O$187,L128,IF(Settings!$D$15=$O$188,L104,IF(Settings!$D$15=$O$185,L80,IF(Settings!$D$15=$O$184,L56,IF(Settings!$D$15=$O$183,L32,L8))))))</f>
        <v>Damaged building(s) and key building components</v>
      </c>
      <c r="M177" s="26" t="str">
        <f>IF(Settings!$D$15=$O$186,M152,IF(Settings!$D$15=$O$187,M128,IF(Settings!$D$15=$O$188,M104,IF(Settings!$D$15=$O$185,M80,IF(Settings!$D$15=$O$184,M56,IF(Settings!$D$15=$O$183,M32,M8))))))</f>
        <v>Total m. Euro</v>
      </c>
      <c r="N177" s="31" t="str">
        <f>IF(Settings!$D$15=$O$186,N153,IF(Settings!$D$15=$O$187,N129,IF(Settings!$D$15=$O$188,N105,IF(Settings!$D$15=$O$185,N81,IF(Settings!$D$15=$O$184,N57,IF(Settings!$D$15=$O$183,N33,N9))))))</f>
        <v>Select one of the three scenarios above by clicking the blue box below</v>
      </c>
      <c r="P177" s="172"/>
      <c r="U177" s="149" t="s">
        <v>2140</v>
      </c>
    </row>
    <row r="178" spans="2:21" ht="42" customHeight="1" outlineLevel="1">
      <c r="B178" s="8"/>
      <c r="C178" s="1047"/>
      <c r="D178" s="1048"/>
      <c r="E178" s="1048"/>
      <c r="F178" s="1048"/>
      <c r="G178" s="1049"/>
      <c r="H178" s="144" t="s">
        <v>1234</v>
      </c>
      <c r="I178" s="104" t="str">
        <f>IF(Settings!$D$15=$O$186,I152,IF(Settings!$D$15=$O$187,I128,IF(Settings!$D$15=$O$188,I104,IF(Settings!$D$15=$O$185,I80,IF(Settings!$D$15=$O$184,I56,IF(Settings!$D$15=$O$183,I32,I8))))))</f>
        <v>Cost &amp; Economic Factors</v>
      </c>
      <c r="K178" s="26" t="str">
        <f>IF(Settings!$D$15=$O$186,K153,IF(Settings!$D$15=$O$187,K129,IF(Settings!$D$15=$O$188,K105,IF(Settings!$D$15=$O$185,K81,IF(Settings!$D$15=$O$184,K57,IF(Settings!$D$15=$O$183,K33,K9))))))</f>
        <v>Actions</v>
      </c>
      <c r="L178" s="26" t="str">
        <f>IF(Settings!$D$15=$O$186,L153,IF(Settings!$D$15=$O$187,L129,IF(Settings!$D$15=$O$188,L105,IF(Settings!$D$15=$O$185,L81,IF(Settings!$D$15=$O$184,L57,IF(Settings!$D$15=$O$183,L33,L9))))))</f>
        <v>Applicable to:</v>
      </c>
      <c r="M178" s="26" t="str">
        <f>IF(Settings!$D$15=$O$186,M153,IF(Settings!$D$15=$O$187,M129,IF(Settings!$D$15=$O$188,M105,IF(Settings!$D$15=$O$185,M81,IF(Settings!$D$15=$O$184,M57,IF(Settings!$D$15=$O$183,M33,M9))))))</f>
        <v>Est. Euro</v>
      </c>
      <c r="N178" s="31" t="str">
        <f>IF(Settings!$D$15=$O$186,N152,IF(Settings!$D$15=$O$187,N128,IF(Settings!$D$15=$O$188,N104,IF(Settings!$D$15=$O$185,N80,IF(Settings!$D$15=$O$184,N56,IF(Settings!$D$15=$O$183,N32,N8))))))</f>
        <v>Unit type</v>
      </c>
      <c r="P178" s="31" t="str">
        <f>IF(Settings!$D$15=$O$186,P152,IF(Settings!$D$15=$O$187,P128,IF(Settings!$D$15=$O$188,P104,IF(Settings!$D$15=$O$185,P80,IF(Settings!$D$15=$O$184,P56,IF(Settings!$D$15=$O$183,P32,P10))))))</f>
        <v>All buildings</v>
      </c>
      <c r="S178" s="96"/>
      <c r="U178" s="149" t="s">
        <v>2114</v>
      </c>
    </row>
    <row r="179" spans="2:21" ht="42" customHeight="1" outlineLevel="1">
      <c r="B179" s="8"/>
      <c r="C179" s="1050"/>
      <c r="D179" s="1051"/>
      <c r="E179" s="1051"/>
      <c r="F179" s="1051"/>
      <c r="G179" s="1052"/>
      <c r="H179" s="144" t="s">
        <v>1235</v>
      </c>
      <c r="I179" s="104" t="str">
        <f>IF(Settings!$D$15=$O$186,I153,IF(Settings!$D$15=$O$187,I129,IF(Settings!$D$15=$O$188,I105,IF(Settings!$D$15=$O$185,I81,IF(Settings!$D$15=$O$184,I57,IF(Settings!$D$15=$O$183,I33,I9))))))</f>
        <v>Service Quality</v>
      </c>
      <c r="K179" s="26" t="str">
        <f>IF(Settings!$D$15=$O$186,K154,IF(Settings!$D$15=$O$187,K130,IF(Settings!$D$15=$O$188,K106,IF(Settings!$D$15=$O$185,K82,IF(Settings!$D$15=$O$184,K58,IF(Settings!$D$15=$O$183,K34,K10))))))</f>
        <v>Notes</v>
      </c>
      <c r="L179"/>
      <c r="M179"/>
      <c r="N179"/>
      <c r="P179" s="31" t="str">
        <f>IF(Settings!$D$15=$O$186,P153,IF(Settings!$D$15=$O$187,P129,IF(Settings!$D$15=$O$188,P105,IF(Settings!$D$15=$O$185,P81,IF(Settings!$D$15=$O$184,P57,IF(Settings!$D$15=$O$183,P33,P11))))))</f>
        <v>All buildings in category</v>
      </c>
      <c r="Q179" s="137"/>
      <c r="S179" s="96" t="str">
        <f>S9</f>
        <v>Local ecological system</v>
      </c>
      <c r="U179" s="149" t="s">
        <v>1990</v>
      </c>
    </row>
    <row r="180" spans="2:21" ht="34" customHeight="1" outlineLevel="1">
      <c r="C180" s="80" t="str">
        <f>IF(Settings!$D$15=$O$186,C160,IF(Settings!$D$15=$O$187,C136,IF(Settings!$D$15=$O$188,C112,IF(Settings!$D$15=$O$185,C88,IF(Settings!$D$15=$O$184,C64,IF(Settings!$D$15=$O$183,C40,C14))))))</f>
        <v>Click on 1, 2 or 3 at upper left to see different levels of detail</v>
      </c>
      <c r="D180" s="29"/>
      <c r="F180" s="2"/>
      <c r="G180" s="83"/>
      <c r="H180" s="144" t="s">
        <v>1236</v>
      </c>
      <c r="I180" s="104" t="str">
        <f>IF(Settings!$D$15=$O$186,I154,IF(Settings!$D$15=$O$187,I130,IF(Settings!$D$15=$O$188,I106,IF(Settings!$D$15=$O$185,I82,IF(Settings!$D$15=$O$184,I58,IF(Settings!$D$15=$O$183,I34,I10))))))</f>
        <v>Health or life safety</v>
      </c>
      <c r="L180" s="31" t="str">
        <f>IF(Settings!$D$15=Languages!$O$186,Languages!L$154,IF(Settings!$D$15=Languages!$O$187,Languages!L$130,IF(Settings!$D$15=Languages!$O$188,Languages!L$106,IF(Settings!$D$15=Languages!$O$185,Languages!L$82,IF(Settings!$D$15=Languages!$O$184,Languages!L$58,IF(Settings!$D$15=Languages!$O$183,Languages!L$34,Languages!L$10))))))&amp;" (Col. J)"</f>
        <v>Relevant sustainability objectives (Col. J)</v>
      </c>
      <c r="M180" s="31" t="str">
        <f>IF(Settings!$D$15=$O$186,M154,IF(Settings!$D$15=$O$187,M130,IF(Settings!$D$15=$O$188,M106,IF(Settings!$D$15=$O$185,M82,IF(Settings!$D$15=$O$184,M58,IF(Settings!$D$15=$O$183,M34,M10))))))</f>
        <v>Causal Factors</v>
      </c>
      <c r="N180" s="31" t="str">
        <f>IF(Settings!$D$15=$O$186,N154,IF(Settings!$D$15=$O$187,N130,IF(Settings!$D$15=$O$188,N106,IF(Settings!$D$15=$O$185,N82,IF(Settings!$D$15=$O$184,N58,IF(Settings!$D$15=$O$183,N34,N10))))))</f>
        <v>Potential effects</v>
      </c>
      <c r="O180" s="45" t="s">
        <v>82</v>
      </c>
      <c r="P180" s="31" t="str">
        <f>IF(Settings!$D$15=$O$186,P154,IF(Settings!$D$15=$O$187,P130,IF(Settings!$D$15=$O$188,P106,IF(Settings!$D$15=$O$185,P82,IF(Settings!$D$15=$O$184,P58,IF(Settings!$D$15=$O$183,P34,P12))))))</f>
        <v>Single building</v>
      </c>
      <c r="Q180" s="96" t="str">
        <f>IF(Settings!$D$15=$O$186,Q153,IF(Settings!$D$15=$O$187,Q129,IF(Settings!$D$15=$O$188,Q105,IF(Settings!$D$15=$O$185,Q81,IF(Settings!$D$15=$O$184,Q58,IF(Settings!$D$15=$O$183,Q34,Q8))))))</f>
        <v>Building Landscaping</v>
      </c>
      <c r="S180" s="96" t="s">
        <v>109</v>
      </c>
    </row>
    <row r="181" spans="2:21" ht="43" customHeight="1" outlineLevel="1">
      <c r="C181" s="31" t="str">
        <f>IF(Settings!$D$15=$O$186,C159,IF(Settings!$D$15=$O$187,C135,IF(Settings!$D$15=$O$188,C111,IF(Settings!$D$15=$O$185,C87,IF(Settings!$D$15=$O$184,C63,IF(Settings!$D$15=$O$183,C39,C13))))))</f>
        <v xml:space="preserve">Three basic scenarios for phenomena that can cause damage are shown above. </v>
      </c>
      <c r="E181" s="31" t="str">
        <f>IF(Settings!$D$15=$O$186,E155,IF(Settings!$D$15=$O$187,E131,IF(Settings!$D$15=$O$188,E107,IF(Settings!$D$15=$O$185,E83,IF(Settings!$D$15=$O$184,E59,IF(Settings!$D$15=$O$183,E35,E11))))))</f>
        <v>Climate Change impacts</v>
      </c>
      <c r="G181" s="13"/>
      <c r="H181" s="144" t="s">
        <v>1237</v>
      </c>
      <c r="I181" s="104" t="str">
        <f>IF(Settings!$D$15=$O$186,I155,IF(Settings!$D$15=$O$187,I131,IF(Settings!$D$15=$O$188,I107,IF(Settings!$D$15=$O$185,I83,IF(Settings!$D$15=$O$184,I59,IF(Settings!$D$15=$O$183,I35,I11))))))</f>
        <v>Non-renewable Resources</v>
      </c>
      <c r="L181" s="26"/>
      <c r="M181" s="26"/>
      <c r="N181" s="26"/>
      <c r="O181" s="96"/>
      <c r="P181" s="31" t="str">
        <f>IF(Settings!$D$15=$O$186,P154,IF(Settings!$D$15=$O$187,P130,IF(Settings!$D$15=$O$188,P106,IF(Settings!$D$15=$O$185,P82,IF(Settings!$D$15=$O$184,P58,IF(Settings!$D$15=$O$183,P34,P13))))))</f>
        <v>Building component</v>
      </c>
      <c r="Q181" s="96" t="str">
        <f>IF(Settings!$D$15=$O$186,Q154,IF(Settings!$D$15=$O$187,Q130,IF(Settings!$D$15=$O$188,Q106,IF(Settings!$D$15=$O$185,Q82,IF(Settings!$D$15=$O$184,Q59,IF(Settings!$D$15=$O$183,Q35,Q10))))))</f>
        <v>Site structures and parking</v>
      </c>
      <c r="S181" s="96" t="str">
        <f>S11</f>
        <v>Topsoil</v>
      </c>
    </row>
    <row r="182" spans="2:21" ht="37" customHeight="1" outlineLevel="1">
      <c r="C182" s="156" t="s">
        <v>1437</v>
      </c>
      <c r="E182" s="31" t="str">
        <f>IF(Settings!$D$15=$O$186,E156,IF(Settings!$D$15=$O$187,E132,IF(Settings!$D$15=$O$188,E108,IF(Settings!$D$15=$O$185,E84,IF(Settings!$D$15=$O$184,E60,IF(Settings!$D$15=$O$183,E36,E12))))))</f>
        <v xml:space="preserve">Damage by military action </v>
      </c>
      <c r="H182" s="144" t="s">
        <v>1238</v>
      </c>
      <c r="I182" s="104" t="str">
        <f>IF(Settings!$D$15=$O$186,I156,IF(Settings!$D$15=$O$187,I132,IF(Settings!$D$15=$O$188,I108,IF(Settings!$D$15=$O$185,I84,IF(Settings!$D$15=$O$184,I60,IF(Settings!$D$15=$O$183,I36,I12))))))</f>
        <v>Energy and Emissions</v>
      </c>
      <c r="L182" s="65" t="str">
        <f>IF(Settings!$D$15=$O$186,L156,IF(Settings!$D$15=$O$187,L132,IF(Settings!$D$15=$O$188,L108,IF(Settings!$D$15=$O$185,L84,IF(Settings!$D$15=$O$184,L60,IF(Settings!$D$15=$O$183,L36,L12))))))</f>
        <v>1. Freeze new construction in areas that are vulnerable to sea level rise, riverine flooding, windstorms, drought or wildfires.</v>
      </c>
      <c r="M182" s="31" t="str">
        <f>IF(Settings!$D$15=$O$186,M156,IF(Settings!$D$15=$O$187,M132,IF(Settings!$D$15=$O$188,M108,IF(Settings!$D$15=$O$185,M84,IF(Settings!$D$15=$O$184,M60,IF(Settings!$D$15=$O$183,M36,M12))))))</f>
        <v>Sea Level rise</v>
      </c>
      <c r="N182" s="65" t="str">
        <f>IF(Settings!$D$15=$O$186,N156,IF(Settings!$D$15=$O$187,N132,IF(Settings!$D$15=$O$188,N108,IF(Settings!$D$15=$O$185,N84,IF(Settings!$D$15=$O$184,N60,IF(Settings!$D$15=$O$183,N36,N12))))))</f>
        <v>Flood damage to structures and contents</v>
      </c>
      <c r="O182" s="35" t="s">
        <v>83</v>
      </c>
      <c r="Q182" s="96" t="str">
        <f>IF(Settings!$D$15=$O$186,Q157,IF(Settings!$D$15=$O$187,Q133,IF(Settings!$D$15=$O$188,Q109,IF(Settings!$D$15=$O$185,Q85,IF(Settings!$D$15=$O$184,Q62,IF(Settings!$D$15=$O$183,Q38,Q13))))))</f>
        <v>Exterior glazing</v>
      </c>
      <c r="S182" s="96" t="str">
        <f>S13</f>
        <v>Natural landscape</v>
      </c>
    </row>
    <row r="183" spans="2:21" ht="40" customHeight="1" outlineLevel="1">
      <c r="C183" s="156" t="s">
        <v>1438</v>
      </c>
      <c r="E183" s="31" t="str">
        <f>IF(Settings!$D$15=$O$186,E157,IF(Settings!$D$15=$O$187,E133,IF(Settings!$D$15=$O$188,E109,IF(Settings!$D$15=$O$185,E85,IF(Settings!$D$15=$O$184,E61,IF(Settings!$D$15=$O$183,E37,E13))))))</f>
        <v>Earthquake damage</v>
      </c>
      <c r="H183" s="144" t="s">
        <v>1239</v>
      </c>
      <c r="I183" s="104" t="str">
        <f>IF(Settings!$D$15=$O$186,I157,IF(Settings!$D$15=$O$187,I133,IF(Settings!$D$15=$O$188,I109,IF(Settings!$D$15=$O$185,I85,IF(Settings!$D$15=$O$184,I61,IF(Settings!$D$15=$O$183,I37,I13))))))</f>
        <v>Indoor Env. Quality</v>
      </c>
      <c r="J183" s="96"/>
      <c r="K183" s="149" t="str">
        <f>IF(Settings!$D$15=$O$186,K155,IF(Settings!$D$15=$O$187,K131,IF(Settings!$D$15=$O$188,K107,IF(Settings!$D$15=$O$185,K83,IF(Settings!$D$15=$O$184,K59,IF(Settings!$D$15=$O$183,K35,K11))))))</f>
        <v xml:space="preserve">Structure, Building or Facility </v>
      </c>
      <c r="L183" s="65" t="str">
        <f>IF(Settings!$D$15=$O$186,L157,IF(Settings!$D$15=$O$187,L133,IF(Settings!$D$15=$O$188,L109,IF(Settings!$D$15=$O$185,L85,IF(Settings!$D$15=$O$184,L61,IF(Settings!$D$15=$O$183,L37,L13))))))</f>
        <v>2. Ensure that urban areas minimise future damage from climate change impacts, earthquakes or military action</v>
      </c>
      <c r="M183" s="31" t="str">
        <f>IF(Settings!$D$15=$O$186,M157,IF(Settings!$D$15=$O$187,M133,IF(Settings!$D$15=$O$188,M109,IF(Settings!$D$15=$O$185,M85,IF(Settings!$D$15=$O$184,M61,IF(Settings!$D$15=$O$183,M37,M13))))))</f>
        <v>Riverine flooding / heavy rain</v>
      </c>
      <c r="N183" s="65" t="str">
        <f>IF(Settings!$D$15=$O$186,N157,IF(Settings!$D$15=$O$187,N133,IF(Settings!$D$15=$O$188,N109,IF(Settings!$D$15=$O$185,N85,IF(Settings!$D$15=$O$184,N61,IF(Settings!$D$15=$O$183,N37,N13))))))</f>
        <v>Flood damage to structures and contents</v>
      </c>
      <c r="O183" s="35" t="s">
        <v>84</v>
      </c>
      <c r="P183" s="96" t="s">
        <v>2138</v>
      </c>
      <c r="Q183" s="96" t="str">
        <f>IF(Settings!$D$15=$O$186,Q156,IF(Settings!$D$15=$O$187,Q132,IF(Settings!$D$15=$O$188,Q108,IF(Settings!$D$15=$O$185,Q84,IF(Settings!$D$15=$O$184,Q61,IF(Settings!$D$15=$O$183,Q37,Q12))))))</f>
        <v>Building Envelope</v>
      </c>
      <c r="S183" s="96" t="str">
        <f>S14</f>
        <v>Wooded area</v>
      </c>
    </row>
    <row r="184" spans="2:21" ht="36" customHeight="1" outlineLevel="1">
      <c r="C184" s="31" t="str">
        <f>IF(Settings!$D$15=$O$186,C161,IF(Settings!$D$15=$O$187,C137,IF(Settings!$D$15=$O$188,C113,IF(Settings!$D$15=$O$185,C89,IF(Settings!$D$15=$O$184,C65,IF(Settings!$D$15=$O$183,C41,C15))))))</f>
        <v>Soil and site</v>
      </c>
      <c r="E184" s="31" t="str">
        <f>IF(Settings!$D$15=$O$186,E158,IF(Settings!$D$15=$O$187,E134,IF(Settings!$D$15=$O$188,E109,IF(Settings!$D$15=$O$185,E86,IF(Settings!$D$15=$O$184,E62,IF(Settings!$D$15=$O$183,E38,E14))))))</f>
        <v>Select language for basic text</v>
      </c>
      <c r="H184" s="144" t="s">
        <v>1266</v>
      </c>
      <c r="I184" s="26" t="str">
        <f>IF(Settings!$D$15=$O$186,I158,IF(Settings!$D$15=$O$187,I134,IF(Settings!$D$15=$O$188,I110,IF(Settings!$D$15=$O$185,I86,IF(Settings!$D$15=$O$184,I62,IF(Settings!$D$15=$O$183,I38,I14))))))</f>
        <v>Outdoor Env. Quality</v>
      </c>
      <c r="J184" s="26" t="s">
        <v>2116</v>
      </c>
      <c r="K184" s="31" t="str">
        <f>IF(Settings!$D$15=$O$186,K156,IF(Settings!$D$15=$O$187,K132,IF(Settings!$D$15=$O$188,K108,IF(Settings!$D$15=$O$185,K84,IF(Settings!$D$15=$O$184,K60,IF(Settings!$D$15=$O$183,K36,K12))))))</f>
        <v>Ratio of Priority score totals in this Category to all Categories</v>
      </c>
      <c r="L184" s="65" t="str">
        <f>IF(Settings!$D$15=$O$186,L158,IF(Settings!$D$15=$O$187,L134,IF(Settings!$D$15=$O$188,L110,IF(Settings!$D$15=$O$185,L86,IF(Settings!$D$15=$O$184,L62,IF(Settings!$D$15=$O$183,L38,L14))))))</f>
        <v>3. Retain and enhance areas of ecological or agricultural value</v>
      </c>
      <c r="M184" s="31" t="str">
        <f>IF(Settings!$D$15=$O$186,M158,IF(Settings!$D$15=$O$187,M134,IF(Settings!$D$15=$O$188,M110,IF(Settings!$D$15=$O$185,M86,IF(Settings!$D$15=$O$184,M62,IF(Settings!$D$15=$O$183,M38,M14))))))</f>
        <v>Hurricane / cyclone / storm surges</v>
      </c>
      <c r="N184" s="65" t="str">
        <f>IF(Settings!$D$15=$O$186,N158,IF(Settings!$D$15=$O$187,N134,IF(Settings!$D$15=$O$188,N110,IF(Settings!$D$15=$O$185,N86,IF(Settings!$D$15=$O$184,N62,IF(Settings!$D$15=$O$183,N38,N14))))))</f>
        <v>Structural and water damage to structures and contents</v>
      </c>
      <c r="O184" s="35" t="s">
        <v>85</v>
      </c>
      <c r="Q184" s="96" t="str">
        <f>IF(Settings!$D$15=$O$186,Q155,IF(Settings!$D$15=$O$187,Q131,IF(Settings!$D$15=$O$188,Q107,IF(Settings!$D$15=$O$185,Q83,IF(Settings!$D$15=$O$184,Q60,IF(Settings!$D$15=$O$183,Q36,Q11))))))</f>
        <v>Building structure</v>
      </c>
      <c r="S184" s="96" t="str">
        <f>S12</f>
        <v>Agricultural area</v>
      </c>
    </row>
    <row r="185" spans="2:21" ht="36" customHeight="1" outlineLevel="1">
      <c r="C185" s="31" t="str">
        <f>IF(Settings!$D$15=$O$186,C162,IF(Settings!$D$15=$O$187,C138,IF(Settings!$D$15=$O$188,C114,IF(Settings!$D$15=$O$185,C90,IF(Settings!$D$15=$O$184,C66,IF(Settings!$D$15=$O$183,C42,C16))))))</f>
        <v>Public utilities and services</v>
      </c>
      <c r="E185" s="31" t="str">
        <f>IF(Settings!$D$15=$O$186,E159,IF(Settings!$D$15=$O$187,E135,IF(Settings!$D$15=$O$188,E110,IF(Settings!$D$15=$O$185,E87,IF(Settings!$D$15=$O$184,E63,IF(Settings!$D$15=$O$183,E39,E15))))))</f>
        <v>Weighted Category damage score = K*N</v>
      </c>
      <c r="F185" s="70"/>
      <c r="I185" s="26" t="str">
        <f>IF(Settings!$D$15=$O$186,I159,IF(Settings!$D$15=$O$187,I135,IF(Settings!$D$15=$O$188,I111,IF(Settings!$D$15=$O$185,I87,IF(Settings!$D$15=$O$184,I63,IF(Settings!$D$15=$O$183,I39,I15))))))</f>
        <v>Several Categories</v>
      </c>
      <c r="J185" s="26" t="s">
        <v>2115</v>
      </c>
      <c r="K185" s="31" t="str">
        <f>IF(Settings!$D$15=$O$186,K158,IF(Settings!$D$15=$O$187,K134,IF(Settings!$D$15=$O$188,K110,IF(Settings!$D$15=$O$185,K86,IF(Settings!$D$15=$O$184,K62,IF(Settings!$D$15=$O$183,K38,K14))))))</f>
        <v>Action required</v>
      </c>
      <c r="L185" s="65" t="str">
        <f>IF(Settings!$D$15=$O$186,L159,IF(Settings!$D$15=$O$187,L135,IF(Settings!$D$15=$O$188,L111,IF(Settings!$D$15=$O$185,L87,IF(Settings!$D$15=$O$184,L63,IF(Settings!$D$15=$O$183,L39,L15))))))</f>
        <v>4. Conserve urban heritage areas, buildings and monuments</v>
      </c>
      <c r="M185" s="31" t="str">
        <f>IF(Settings!$D$15=$O$186,M159,IF(Settings!$D$15=$O$187,M135,IF(Settings!$D$15=$O$188,M111,IF(Settings!$D$15=$O$185,M87,IF(Settings!$D$15=$O$184,M63,IF(Settings!$D$15=$O$183,M39,M15))))))</f>
        <v>Urban heat island</v>
      </c>
      <c r="N185" s="65" t="str">
        <f>IF(Settings!$D$15=$O$186,N159,IF(Settings!$D$15=$O$187,N135,IF(Settings!$D$15=$O$188,N111,IF(Settings!$D$15=$O$185,N87,IF(Settings!$D$15=$O$184,N63,IF(Settings!$D$15=$O$183,N39,N15))))))</f>
        <v>Excess temperatures leading to health hazards for humans and ecological damage</v>
      </c>
      <c r="O185" s="35" t="s">
        <v>202</v>
      </c>
      <c r="Q185" s="31" t="str">
        <f>IF(Settings!$D$15=$O$186,Q161,IF(Settings!$D$15=$O$187,Q136,IF(Settings!$D$15=$O$188,Q112,IF(Settings!$D$15=$O$185,Q88,IF(Settings!$D$15=$O$184,Q65,IF(Settings!$D$15=$O$183,Q41,Q14))))))</f>
        <v>Plumbing systems</v>
      </c>
      <c r="S185" s="96" t="str">
        <f>S18</f>
        <v>Urban vegetable gardens</v>
      </c>
    </row>
    <row r="186" spans="2:21" ht="41" customHeight="1" outlineLevel="1">
      <c r="C186" s="31" t="str">
        <f>IF(Settings!$D$15=$O$186,C163,IF(Settings!$D$15=$O$187,C139,IF(Settings!$D$15=$O$188,C115,IF(Settings!$D$15=$O$185,C91,IF(Settings!$D$15=$O$184,C67,IF(Settings!$D$15=$O$183,C43,C17))))))</f>
        <v>Industrial</v>
      </c>
      <c r="F186" s="72">
        <v>0.05</v>
      </c>
      <c r="H186" s="142"/>
      <c r="I186" s="31" t="str">
        <f>IF(Settings!$D$15=$O$186,I159,IF(Settings!$D$15=$O$187,I135,IF(Settings!$D$15=$O$188,I111,IF(Settings!$D$15=$O$185,I87,IF(Settings!$D$15=$O$184,I63,IF(Settings!$D$15=$O$183,I39,I17))))))</f>
        <v>iiSBE Damage Assessment Tool</v>
      </c>
      <c r="J186" s="348" t="s">
        <v>2120</v>
      </c>
      <c r="K186" s="137"/>
      <c r="L186" s="65" t="str">
        <f>IF(Settings!$D$15=$O$186,L160,IF(Settings!$D$15=$O$187,L136,IF(Settings!$D$15=$O$188,L112,IF(Settings!$D$15=$O$185,L88,IF(Settings!$D$15=$O$184,L64,IF(Settings!$D$15=$O$183,L40,L16))))))</f>
        <v>5. Reduce urban heat island effect through vegetation, parks and urban forests</v>
      </c>
      <c r="M186" s="31" t="str">
        <f>IF(Settings!$D$15=$O$186,M160,IF(Settings!$D$15=$O$187,M136,IF(Settings!$D$15=$O$188,M112,IF(Settings!$D$15=$O$185,M88,IF(Settings!$D$15=$O$184,M64,IF(Settings!$D$15=$O$183,M40,M16))))))</f>
        <v>Chemical or radiation damage</v>
      </c>
      <c r="N186" s="65" t="str">
        <f>IF(Settings!$D$15=$O$186,N160,IF(Settings!$D$15=$O$187,N136,IF(Settings!$D$15=$O$188,N112,IF(Settings!$D$15=$O$185,N88,IF(Settings!$D$15=$O$184,N64,IF(Settings!$D$15=$O$183,N40,N16))))))</f>
        <v>Life safety threat to humans and long-term damage to ecology</v>
      </c>
      <c r="O186" s="35" t="s">
        <v>86</v>
      </c>
      <c r="Q186" s="31" t="str">
        <f>IF(Settings!$D$15=$O$186,Q159,IF(Settings!$D$15=$O$187,Q134,IF(Settings!$D$15=$O$188,Q110,IF(Settings!$D$15=$O$185,Q86,IF(Settings!$D$15=$O$184,Q63,IF(Settings!$D$15=$O$183,Q39,Q15))))))</f>
        <v>Mechanical Systems</v>
      </c>
      <c r="S186" s="96" t="str">
        <f>S15</f>
        <v>Informal urban parks</v>
      </c>
    </row>
    <row r="187" spans="2:21" ht="39" customHeight="1" outlineLevel="1">
      <c r="C187" s="31" t="str">
        <f>IF(Settings!$D$15=$O$186,C164,IF(Settings!$D$15=$O$187,C140,IF(Settings!$D$15=$O$188,C116,IF(Settings!$D$15=$O$185,C92,IF(Settings!$D$15=$O$184,C68,IF(Settings!$D$15=$O$183,C44,C18))))))</f>
        <v>Public and private transport</v>
      </c>
      <c r="E187" s="26" t="str">
        <f>IF(Settings!$D$15=$O$186,E160,IF(Settings!$D$15=$O$187,E136,IF(Settings!$D$15=$O$188,E112,IF(Settings!$D$15=$O$185,E88,IF(Settings!$D$15=$O$184,E64,IF(Settings!$D$15=$O$183,E40,E16))))))</f>
        <v>Comments</v>
      </c>
      <c r="F187" s="72">
        <v>0.1</v>
      </c>
      <c r="H187" s="143">
        <v>1</v>
      </c>
      <c r="I187" s="31" t="str">
        <f>IF(Settings!$D$15=$O$186,I160,IF(Settings!$D$15=$O$187,I136,IF(Settings!$D$15=$O$188,I112,IF(Settings!$D$15=$O$185,I88,IF(Settings!$D$15=$O$184,I64,IF(Settings!$D$15=$O$183,I40,I18))))))</f>
        <v>Aggregate damage, all cases</v>
      </c>
      <c r="J187" s="348" t="s">
        <v>2126</v>
      </c>
      <c r="K187" s="31" t="str">
        <f>IF(Settings!$D$15=$O$186,K162,IF(Settings!$D$15=$O$187,K138,IF(Settings!$D$15=$O$188,K114,IF(Settings!$D$15=$O$185,K90,IF(Settings!$D$15=$O$184,K66,IF(Settings!$D$15=$O$183,K42,K18))))))</f>
        <v>Restore / decontaminate</v>
      </c>
      <c r="L187" s="65" t="str">
        <f>IF(Settings!$D$15=$O$186,L161,IF(Settings!$D$15=$O$187,L137,IF(Settings!$D$15=$O$188,L113,IF(Settings!$D$15=$O$185,L89,IF(Settings!$D$15=$O$184,L65,IF(Settings!$D$15=$O$183,L41,L17))))))</f>
        <v>6. Ensure that housing, public facilities and utility systems are able to operate at optimal functional and energy performance levels</v>
      </c>
      <c r="M187" s="31" t="str">
        <f>IF(Settings!$D$15=$O$186,M161,IF(Settings!$D$15=$O$187,M137,IF(Settings!$D$15=$O$188,M113,IF(Settings!$D$15=$O$185,M89,IF(Settings!$D$15=$O$184,M65,IF(Settings!$D$15=$O$183,M41,M17))))))</f>
        <v>Drought</v>
      </c>
      <c r="N187" s="65" t="str">
        <f>IF(Settings!$D$15=$O$186,N161,IF(Settings!$D$15=$O$187,N137,IF(Settings!$D$15=$O$188,N113,IF(Settings!$D$15=$O$185,N89,IF(Settings!$D$15=$O$184,N65,IF(Settings!$D$15=$O$183,N41,N17))))))</f>
        <v>Destabilisation of foundations and ecological damage</v>
      </c>
      <c r="O187" s="35" t="s">
        <v>265</v>
      </c>
      <c r="Q187" s="31" t="s">
        <v>2154</v>
      </c>
      <c r="S187" s="96" t="str">
        <f>S16</f>
        <v>Formal urban parks</v>
      </c>
    </row>
    <row r="188" spans="2:21" ht="35" customHeight="1" outlineLevel="1">
      <c r="C188" s="31" t="str">
        <f>IF(Settings!$D$15=$O$186,C165,IF(Settings!$D$15=$O$187,C141,IF(Settings!$D$15=$O$188,C117,IF(Settings!$D$15=$O$185,C93,IF(Settings!$D$15=$O$184,C69,IF(Settings!$D$15=$O$183,C45,C19))))))</f>
        <v>Houses and Housing</v>
      </c>
      <c r="D188" s="29"/>
      <c r="E188" s="65" t="str">
        <f>IF(Settings!$D$15=$O$186,E161,IF(Settings!$D$15=$O$187,E137,IF(Settings!$D$15=$O$188,E113,IF(Settings!$D$15=$O$185,E89,IF(Settings!$D$15=$O$184,E65,IF(Settings!$D$15=$O$183,E41,E17))))))</f>
        <v>Average Priority Score in category</v>
      </c>
      <c r="F188" s="72">
        <v>0.2</v>
      </c>
      <c r="H188" s="143">
        <v>2</v>
      </c>
      <c r="I188" s="31" t="str">
        <f>IF(Settings!$D$15=$O$186,K157,IF(Settings!$D$15=$O$187,K133,IF(Settings!$D$15=$O$188,K109,IF(Settings!$D$15=$O$185,K85,IF(Settings!$D$15=$O$184,K61,IF(Settings!$D$15=$O$183,K37,K13))))))</f>
        <v>Area and/or quantity assessed</v>
      </c>
      <c r="J188" s="9"/>
      <c r="K188" s="31" t="str">
        <f>IF(Settings!$D$15=$O$186,K163,IF(Settings!$D$15=$O$187,K139,IF(Settings!$D$15=$O$188,K115,IF(Settings!$D$15=$O$185,K91,IF(Settings!$D$15=$O$184,K67,IF(Settings!$D$15=$O$183,K43,K19))))))</f>
        <v>Minor repair / remediate</v>
      </c>
      <c r="L188" s="65" t="str">
        <f>IF(Settings!$D$15=$O$186,L162,IF(Settings!$D$15=$O$187,L138,IF(Settings!$D$15=$O$188,L114,IF(Settings!$D$15=$O$185,L90,IF(Settings!$D$15=$O$184,L66,IF(Settings!$D$15=$O$183,L42,L18))))))</f>
        <v xml:space="preserve">7. Ensure that housing, public facilities and utilities satisfy physical and social needs and promote economic equity </v>
      </c>
      <c r="M188" s="31" t="str">
        <f>IF(Settings!$D$15=$O$186,M162,IF(Settings!$D$15=$O$187,M138,IF(Settings!$D$15=$O$188,M114,IF(Settings!$D$15=$O$185,M90,IF(Settings!$D$15=$O$184,M66,IF(Settings!$D$15=$O$183,M42,M18))))))</f>
        <v>Wildfire</v>
      </c>
      <c r="N188" s="65" t="str">
        <f>IF(Settings!$D$15=$O$186,N162,IF(Settings!$D$15=$O$187,N138,IF(Settings!$D$15=$O$188,N114,IF(Settings!$D$15=$O$185,N90,IF(Settings!$D$15=$O$184,N66,IF(Settings!$D$15=$O$183,N42,N18))))))</f>
        <v>Fire and smoke damage to structures and contents; ecological damage</v>
      </c>
      <c r="O188" s="35" t="s">
        <v>87</v>
      </c>
      <c r="Q188" s="31" t="str">
        <f>IF(Settings!$D$15=$O$186,Q160,IF(Settings!$D$15=$O$187,Q135,IF(Settings!$D$15=$O$188,Q111,IF(Settings!$D$15=$O$185,Q87,IF(Settings!$D$15=$O$184,Q64,IF(Settings!$D$15=$O$183,Q40,Q16))))))</f>
        <v>Electrical  Systems</v>
      </c>
      <c r="S188" s="96" t="str">
        <f>S17</f>
        <v>Private green space</v>
      </c>
    </row>
    <row r="189" spans="2:21" ht="42" customHeight="1" outlineLevel="1">
      <c r="C189" s="31" t="str">
        <f>IF(Settings!$D$15=$O$186,C166,IF(Settings!$D$15=$O$187,C142,IF(Settings!$D$15=$O$188,C118,IF(Settings!$D$15=$O$185,C94,IF(Settings!$D$15=$O$184,C70,IF(Settings!$D$15=$O$183,C46,C20))))))</f>
        <v>Health facilities</v>
      </c>
      <c r="E189" s="65" t="str">
        <f>IF(Settings!$D$15=$O$186,E162,IF(Settings!$D$15=$O$187,E138,IF(Settings!$D$15=$O$188,E114,IF(Settings!$D$15=$O$185,E90,IF(Settings!$D$15=$O$184,E66,IF(Settings!$D$15=$O$183,E42,E18))))))</f>
        <v>Average damage Severity Level Score</v>
      </c>
      <c r="F189" s="72">
        <v>0.3</v>
      </c>
      <c r="H189" s="143">
        <v>3</v>
      </c>
      <c r="I189" s="257" t="str">
        <f>I19</f>
        <v>Aggregate Damage</v>
      </c>
      <c r="J189" s="9"/>
      <c r="K189" s="31" t="str">
        <f>IF(Settings!$D$15=$O$186,K164,IF(Settings!$D$15=$O$187,K140,IF(Settings!$D$15=$O$188,K116,IF(Settings!$D$15=$O$185,K92,IF(Settings!$D$15=$O$184,K68,IF(Settings!$D$15=$O$183,K44,K20))))))</f>
        <v>Moderate repair</v>
      </c>
      <c r="L189" s="65" t="str">
        <f>IF(Settings!$D$15=$O$186,L163,IF(Settings!$D$15=$O$187,L139,IF(Settings!$D$15=$O$188,L115,IF(Settings!$D$15=$O$185,L91,IF(Settings!$D$15=$O$184,L67,IF(Settings!$D$15=$O$183,L43,L19))))))</f>
        <v>8. Mimimise life-cycle capital costs of housing, public facilities and utilities</v>
      </c>
      <c r="M189" s="31" t="str">
        <f>IF(Settings!$D$15=$O$186,M163,IF(Settings!$D$15=$O$187,M139,IF(Settings!$D$15=$O$188,M115,IF(Settings!$D$15=$O$185,M91,IF(Settings!$D$15=$O$184,M67,IF(Settings!$D$15=$O$183,M43,M19))))))</f>
        <v>Urban fire</v>
      </c>
      <c r="N189" s="65" t="str">
        <f>IF(Settings!$D$15=$O$186,N163,IF(Settings!$D$15=$O$187,N139,IF(Settings!$D$15=$O$188,N115,IF(Settings!$D$15=$O$185,N91,IF(Settings!$D$15=$O$184,N67,IF(Settings!$D$15=$O$183,N43,N19))))))</f>
        <v>Fire &amp; smoke damage to buildings and contents</v>
      </c>
      <c r="Q189" s="31" t="str">
        <f>IF(Settings!$D$15=$O$186,Q162,IF(Settings!$D$15=$O$187,Q137,IF(Settings!$D$15=$O$188,Q113,IF(Settings!$D$15=$O$185,Q89,IF(Settings!$D$15=$O$184,Q66,IF(Settings!$D$15=$O$183,Q42,Q17))))))</f>
        <v>Energy generation systems</v>
      </c>
      <c r="S189" s="96" t="str">
        <f>S10</f>
        <v>Local fauna</v>
      </c>
    </row>
    <row r="190" spans="2:21" ht="35" customHeight="1" outlineLevel="1">
      <c r="C190" s="31" t="str">
        <f>IF(Settings!$D$15=$O$186,C166,IF(Settings!$D$15=$O$187,C142,IF(Settings!$D$15=$O$188,C118,IF(Settings!$D$15=$O$185,C94,IF(Settings!$D$15=$O$184,C70,IF(Settings!$D$15=$O$183,C46,C21))))))</f>
        <v>Public buildings</v>
      </c>
      <c r="E190" s="65" t="str">
        <f>IF(Settings!$D$15=$O$186,E163,IF(Settings!$D$15=$O$187,E139,IF(Settings!$D$15=$O$188,E115,IF(Settings!$D$15=$O$185,E91,IF(Settings!$D$15=$O$184,E67,IF(Settings!$D$15=$O$183,E43,E19))))))</f>
        <v>Social Impact level</v>
      </c>
      <c r="F190" s="72">
        <v>0.4</v>
      </c>
      <c r="G190" s="146"/>
      <c r="H190" s="143">
        <v>4</v>
      </c>
      <c r="I190" s="137"/>
      <c r="J190" s="96"/>
      <c r="K190" s="31" t="str">
        <f>IF(Settings!$D$15=$O$186,K165,IF(Settings!$D$15=$O$187,K141,IF(Settings!$D$15=$O$188,K117,IF(Settings!$D$15=$O$185,K93,IF(Settings!$D$15=$O$184,K69,IF(Settings!$D$15=$O$183,K45,K21))))))</f>
        <v>Major repair / replace</v>
      </c>
      <c r="L190" s="65" t="str">
        <f>IF(Settings!$D$15=$O$186,L164,IF(Settings!$D$15=$O$187,L140,IF(Settings!$D$15=$O$188,L116,IF(Settings!$D$15=$O$185,L92,IF(Settings!$D$15=$O$184,L68,IF(Settings!$D$15=$O$183,L44,L20))))))</f>
        <v>9. Establish clusters of diverse existing buildings in synergy zones that balance surpluses and deficits of energy and water.</v>
      </c>
      <c r="M190" s="65" t="s">
        <v>2200</v>
      </c>
      <c r="N190" s="65" t="s">
        <v>2201</v>
      </c>
      <c r="Q190" s="31" t="str">
        <f>IF(Settings!$D$15=$O$186,Q164,IF(Settings!$D$15=$O$187,Q139,IF(Settings!$D$15=$O$188,Q115,IF(Settings!$D$15=$O$185,Q91,IF(Settings!$D$15=$O$184,Q68,IF(Settings!$D$15=$O$183,Q44,Q19))))))</f>
        <v>Energy storage systems</v>
      </c>
      <c r="S190" s="96" t="str">
        <f>S19</f>
        <v>Marsh or Wetland</v>
      </c>
    </row>
    <row r="191" spans="2:21" ht="44" customHeight="1" outlineLevel="1">
      <c r="C191" s="31" t="str">
        <f>IF(Settings!$D$15=$O$186,C167,IF(Settings!$D$15=$O$187,C143,IF(Settings!$D$15=$O$188,C119,IF(Settings!$D$15=$O$185,C95,IF(Settings!$D$15=$O$184,C71,IF(Settings!$D$15=$O$183,C47,C22))))))</f>
        <v>Commercial facilities</v>
      </c>
      <c r="E191" s="1034" t="str">
        <f>IF(Settings!$D$15=$O$186,E164,IF(Settings!$D$15=$O$187,E140,IF(Settings!$D$15=$O$188,E116,IF(Settings!$D$15=$O$185,E92,IF(Settings!$D$15=$O$184,E68,IF(Settings!$D$15=$O$183,E44,E20))))))</f>
        <v>Selections and values are  hypothetical and are only intended to show how the system could work.  
Click on blue cells to select from lists.  Enter text or data in yellow cells but NOT in other cells, since most of them contain formulas. Don't forget to use the 3 buttons in upper left corner to see levels of detail.</v>
      </c>
      <c r="F191" s="72">
        <v>0.5</v>
      </c>
      <c r="G191" s="65" t="str">
        <f>IF(Settings!$D$15=$O$186,F165,IF(Settings!$D$15=$O$187,F141,IF(Settings!$D$15=$O$188,F117,IF(Settings!$D$15=$O$185,F93,IF(Settings!$D$15=$O$184,F68,IF(Settings!$D$15=$O$183,F45,F17))))))</f>
        <v>Action category 
A-G</v>
      </c>
      <c r="H191" s="71">
        <v>5</v>
      </c>
      <c r="I191" s="31" t="str">
        <f>IF(Settings!$D$15=$O$186,I164,IF(Settings!$D$15=$O$187,I140,IF(Settings!$D$15=$O$188,I116,IF(Settings!$D$15=$O$185,I92,IF(Settings!$D$15=$O$184,I68,IF(Settings!$D$15=$O$183,I44,I20))))))</f>
        <v>Extent &gt; 80%</v>
      </c>
      <c r="J191" s="26" t="s">
        <v>2123</v>
      </c>
      <c r="K191" s="31" t="str">
        <f>IF(Settings!$D$15=$O$186,K166,IF(Settings!$D$15=$O$187,K142,IF(Settings!$D$15=$O$188,K118,IF(Settings!$D$15=$O$185,K94,IF(Settings!$D$15=$O$184,K70,IF(Settings!$D$15=$O$183,K46,K22))))))</f>
        <v>Energy system upgrade</v>
      </c>
      <c r="L191" s="65" t="str">
        <f>IF(Settings!$D$15=$O$186,L165,IF(Settings!$D$15=$O$187,L141,IF(Settings!$D$15=$O$188,L117,IF(Settings!$D$15=$O$185,L93,IF(Settings!$D$15=$O$184,L69,IF(Settings!$D$15=$O$183,L45,L21))))))</f>
        <v>10. Shift from private to public transport to conserve land and improve air quality</v>
      </c>
      <c r="Q191" s="31" t="str">
        <f>IF(Settings!$D$15=$O$186,Q164,IF(Settings!$D$15=$O$187,Q139,IF(Settings!$D$15=$O$188,Q115,IF(Settings!$D$15=$O$185,Q91,IF(Settings!$D$15=$O$184,Q68,IF(Settings!$D$15=$O$183,Q44,Q20))))))</f>
        <v>Boiler / heat generation</v>
      </c>
      <c r="S191" s="96" t="str">
        <f t="shared" ref="S191:S195" si="0">S21</f>
        <v>Constructed water elements</v>
      </c>
    </row>
    <row r="192" spans="2:21" ht="44" customHeight="1" outlineLevel="1">
      <c r="C192" s="31" t="str">
        <f>IF(Settings!$D$15=$O$186,C167,IF(Settings!$D$15=$O$187,C143,IF(Settings!$D$15=$O$188,C119,IF(Settings!$D$15=$O$185,C95,IF(Settings!$D$15=$O$184,C71,IF(Settings!$D$15=$O$183,C47,C23))))))</f>
        <v>Other Built Structures</v>
      </c>
      <c r="E192" s="1034"/>
      <c r="F192" s="72">
        <v>0.6</v>
      </c>
      <c r="G192" s="147" t="str">
        <f>IF(Settings!$D$15=$O$186,F165,IF(Settings!$D$15=$O$187,F141,IF(Settings!$D$15=$O$188,F117,IF(Settings!$D$15=$O$185,F93,IF(Settings!$D$15=$O$184,F69,IF(Settings!$D$15=$O$183,F45,F18))))))</f>
        <v>Importance
1 - 5</v>
      </c>
      <c r="H192" s="135"/>
      <c r="I192" s="31" t="str">
        <f>IF(Settings!$D$15=$O$186,I165,IF(Settings!$D$15=$O$187,I141,IF(Settings!$D$15=$O$188,I117,IF(Settings!$D$15=$O$185,I93,IF(Settings!$D$15=$O$184,I69,IF(Settings!$D$15=$O$183,I45,I21))))))</f>
        <v>Extent 60-80%</v>
      </c>
      <c r="J192" s="26" t="s">
        <v>2124</v>
      </c>
      <c r="K192" s="31" t="str">
        <f>IF(Settings!$D$15=$O$186,K167,IF(Settings!$D$15=$O$187,K143,IF(Settings!$D$15=$O$188,K119,IF(Settings!$D$15=$O$185,K95,IF(Settings!$D$15=$O$184,K71,IF(Settings!$D$15=$O$183,K47,K23))))))</f>
        <v>Major energy upgrade</v>
      </c>
      <c r="L192" s="65" t="str">
        <f>IF(Settings!$D$15=$O$186,L166,IF(Settings!$D$15=$O$187,L142,IF(Settings!$D$15=$O$188,L118,IF(Settings!$D$15=$O$185,L94,IF(Settings!$D$15=$O$184,L70,IF(Settings!$D$15=$O$183,L46,L22))))))</f>
        <v>11. Prioritise clean energy supply with renewables and zero use of fossil fuels</v>
      </c>
      <c r="M192" s="31" t="str">
        <f>IF(Settings!$D$15=$O$186,M165,IF(Settings!$D$15=$O$187,M141,IF(Settings!$D$15=$O$188,M117,IF(Settings!$D$15=$O$185,M93,IF(Settings!$D$15=$O$184,M69,IF(Settings!$D$15=$O$183,M45,M22))))))</f>
        <v>Military action</v>
      </c>
      <c r="N192" s="65" t="str">
        <f>IF(Settings!$D$15=$O$186,N165,IF(Settings!$D$15=$O$187,N141,IF(Settings!$D$15=$O$188,N117,IF(Settings!$D$15=$O$185,N93,IF(Settings!$D$15=$O$184,N69,IF(Settings!$D$15=$O$183,N45,N22))))))</f>
        <v>Blast damage to structures, building envelope or contents; Spread of shell fragments, debris and medical waste; Contamination of water bodies or topsoil</v>
      </c>
      <c r="Q192" s="31" t="str">
        <f>IF(Settings!$D$15=$O$186,Q165,IF(Settings!$D$15=$O$187,Q140,IF(Settings!$D$15=$O$188,Q116,IF(Settings!$D$15=$O$185,Q92,IF(Settings!$D$15=$O$184,Q69,IF(Settings!$D$15=$O$183,Q45,Q21))))))</f>
        <v>Space cooling systems</v>
      </c>
      <c r="S192" s="96" t="str">
        <f t="shared" si="0"/>
        <v>Formal water elements</v>
      </c>
    </row>
    <row r="193" spans="2:19" ht="44" customHeight="1" outlineLevel="1">
      <c r="E193" s="1034"/>
      <c r="F193" s="72">
        <v>0.7</v>
      </c>
      <c r="G193" s="147" t="str">
        <f>IF(Settings!$D$15=$O$186,F166,IF(Settings!$D$15=$O$187,F142,IF(Settings!$D$15=$O$188,F118,IF(Settings!$D$15=$O$185,F94,IF(Settings!$D$15=$O$184,F70,IF(Settings!$D$15=$O$183,F46,F19))))))</f>
        <v>Priority 
1 - 5</v>
      </c>
      <c r="I193" s="31" t="str">
        <f>IF(Settings!$D$15=$O$186,I166,IF(Settings!$D$15=$O$187,I142,IF(Settings!$D$15=$O$188,I118,IF(Settings!$D$15=$O$185,I94,IF(Settings!$D$15=$O$184,I70,IF(Settings!$D$15=$O$183,I46,I22))))))</f>
        <v>Extent 40-60%</v>
      </c>
      <c r="J193" s="26" t="s">
        <v>2125</v>
      </c>
      <c r="K193" s="31" t="str">
        <f>IF(Settings!$D$15=$O$186,K160,IF(Settings!$D$15=$O$187,K136,IF(Settings!$D$15=$O$188,K112,IF(Settings!$D$15=$O$185,K88,IF(Settings!$D$15=$O$184,K64,IF(Settings!$D$15=$O$183,K40,K16))))))</f>
        <v>Demolish for disposal</v>
      </c>
      <c r="L193" s="65" t="str">
        <f>IF(Settings!$D$15=$O$186,L167,IF(Settings!$D$15=$O$187,L143,IF(Settings!$D$15=$O$188,L119,IF(Settings!$D$15=$O$185,L95,IF(Settings!$D$15=$O$184,L71,IF(Settings!$D$15=$O$183,L47,L23))))))</f>
        <v>12. Minimise embodied and operating energy of all energy-using facilities and equipment</v>
      </c>
      <c r="M193" s="31"/>
      <c r="N193" s="65"/>
      <c r="Q193" s="31" t="str">
        <f>IF(Settings!$D$15=$O$186,Q166,IF(Settings!$D$15=$O$187,Q141,IF(Settings!$D$15=$O$188,Q117,IF(Settings!$D$15=$O$185,Q93,IF(Settings!$D$15=$O$184,Q70,IF(Settings!$D$15=$O$183,Q46,Q22))))))</f>
        <v>Control systems</v>
      </c>
      <c r="S193" s="96" t="str">
        <f t="shared" si="0"/>
        <v>Sub-surface acquifer</v>
      </c>
    </row>
    <row r="194" spans="2:19" ht="41" customHeight="1" outlineLevel="1">
      <c r="C194" s="31" t="str">
        <f>IF(Settings!$D$15=$O$186,C168,IF(Settings!$D$15=$O$187,C144,IF(Settings!$D$15=$O$188,C120,IF(Settings!$D$15=$O$185,C96,IF(Settings!$D$15=$O$184,C72,IF(Settings!$D$15=$O$183,C48,C24))))))</f>
        <v>Building Components and Assemblies</v>
      </c>
      <c r="E194" s="1034"/>
      <c r="F194" s="72">
        <v>0.8</v>
      </c>
      <c r="G194" s="84" t="str">
        <f>IF(Settings!$D$15=$O$186,F167,IF(Settings!$D$15=$O$187,F143,IF(Settings!$D$15=$O$188,F119,IF(Settings!$D$15=$O$185,F95,IF(Settings!$D$15=$O$184,F71,IF(Settings!$D$15=$O$183,F47,F20))))))</f>
        <v>Percent affected</v>
      </c>
      <c r="I194" s="31" t="str">
        <f>IF(Settings!$D$15=$O$186,I167,IF(Settings!$D$15=$O$187,I143,IF(Settings!$D$15=$O$188,I119,IF(Settings!$D$15=$O$185,I95,IF(Settings!$D$15=$O$184,I71,IF(Settings!$D$15=$O$183,I47,I23))))))</f>
        <v>Extent 20-40%</v>
      </c>
      <c r="J194" s="26" t="s">
        <v>2127</v>
      </c>
      <c r="K194" s="31" t="str">
        <f>IF(Settings!$D$15=$O$186,K161,IF(Settings!$D$15=$O$187,K137,IF(Settings!$D$15=$O$188,K113,IF(Settings!$D$15=$O$185,K89,IF(Settings!$D$15=$O$184,K65,IF(Settings!$D$15=$O$183,K41,K17))))))</f>
        <v>Dismantle for re-use</v>
      </c>
      <c r="L194" s="65" t="str">
        <f>IF(Settings!$D$15=$O$186,L168,IF(Settings!$D$15=$O$187,L144,IF(Settings!$D$15=$O$188,L120,IF(Settings!$D$15=$O$185,L96,IF(Settings!$D$15=$O$184,L72,IF(Settings!$D$15=$O$183,L48,L24))))))</f>
        <v>13. Minimise use of non-renewable materials in new construction and make effective use of recovered materials for re-use or recycling</v>
      </c>
      <c r="M194" s="1110" t="str">
        <f>IF(Settings!$D$15=$O$186,M168,IF(Settings!$D$15=$O$187,M144,IF(Settings!$D$15=$O$188,M120,IF(Settings!$D$15=$O$185,M96,IF(Settings!$D$15=$O$184,M72,IF(Settings!$D$15=$O$183,M48,M24))))))</f>
        <v>Enter info on type and area / quantity of assets, type and extent of damage.</v>
      </c>
      <c r="N194" s="1111"/>
      <c r="Q194" s="31" t="str">
        <f>IF(Settings!$D$15=$O$186,Q167,IF(Settings!$D$15=$O$187,Q142,IF(Settings!$D$15=$O$188,Q118,IF(Settings!$D$15=$O$185,Q94,IF(Settings!$D$15=$O$184,Q71,IF(Settings!$D$15=$O$183,Q47,Q23))))))</f>
        <v>Lighting systems</v>
      </c>
      <c r="S194" s="96" t="str">
        <f t="shared" si="0"/>
        <v>Surface Infrastructure</v>
      </c>
    </row>
    <row r="195" spans="2:19" ht="44" customHeight="1" outlineLevel="1">
      <c r="C195" s="31" t="str">
        <f>IF(Settings!$D$15=$O$186,C169,IF(Settings!$D$15=$O$187,C145,IF(Settings!$D$15=$O$188,C121,IF(Settings!$D$15=$O$185,C97,IF(Settings!$D$15=$O$184,C73,IF(Settings!$D$15=$O$183,C49,C25))))))</f>
        <v xml:space="preserve">Technical Systems for buildings </v>
      </c>
      <c r="E195" s="1034"/>
      <c r="F195" s="72">
        <v>0.9</v>
      </c>
      <c r="G195" s="84" t="str">
        <f>IF(Settings!$D$15=$O$186,F168,IF(Settings!$D$15=$O$187,F144,IF(Settings!$D$15=$O$188,F120,IF(Settings!$D$15=$O$185,F96,IF(Settings!$D$15=$O$184,F72,IF(Settings!$D$15=$O$183,F48,F21))))))</f>
        <v>Severity  
1 - 5</v>
      </c>
      <c r="I195" s="31" t="str">
        <f>IF(Settings!$D$15=$O$186,I168,IF(Settings!$D$15=$O$187,I144,IF(Settings!$D$15=$O$188,I120,IF(Settings!$D$15=$O$185,I96,IF(Settings!$D$15=$O$184,I72,IF(Settings!$D$15=$O$183,I48,I24))))))</f>
        <v>Extent 10-20%</v>
      </c>
      <c r="K195" s="31" t="str">
        <f>IF(Settings!$D$15=$O$186,K168,IF(Settings!$D$15=$O$187,K144,IF(Settings!$D$15=$O$188,K120,IF(Settings!$D$15=$O$185,K96,IF(Settings!$D$15=$O$184,K72,IF(Settings!$D$15=$O$183,K48,K24))))))</f>
        <v>Rebuild on same site</v>
      </c>
      <c r="L195" s="65" t="str">
        <f>IF(Settings!$D$15=$O$186,L169,IF(Settings!$D$15=$O$187,L145,IF(Settings!$D$15=$O$188,L121,IF(Settings!$D$15=$O$185,L97,IF(Settings!$D$15=$O$184,L73,IF(Settings!$D$15=$O$183,L49,L25))))))</f>
        <v>14. Minimise use of non-renewable materials in new construction and make effective use of recovered materials for re-use or recycling</v>
      </c>
      <c r="M195" s="251"/>
      <c r="N195" s="147"/>
      <c r="Q195" s="31" t="str">
        <f>IF(Settings!$D$15=$O$186,Q168,IF(Settings!$D$15=$O$187,Q143,IF(Settings!$D$15=$O$188,Q119,IF(Settings!$D$15=$O$185,Q95,IF(Settings!$D$15=$O$184,Q72,IF(Settings!$D$15=$O$183,Q48,Q24))))))</f>
        <v>Lifts or escalators</v>
      </c>
      <c r="S195" s="96" t="str">
        <f t="shared" si="0"/>
        <v>Sub-surface Infrastructure</v>
      </c>
    </row>
    <row r="196" spans="2:19" ht="45" customHeight="1" outlineLevel="1">
      <c r="E196" s="1034"/>
      <c r="F196" s="133">
        <v>1</v>
      </c>
      <c r="G196" s="84" t="str">
        <f>IF(Settings!$D$15=$O$186,F169,IF(Settings!$D$15=$O$187,F145,IF(Settings!$D$15=$O$188,F121,IF(Settings!$D$15=$O$185,F97,IF(Settings!$D$15=$O$184,F73,IF(Settings!$D$15=$O$183,F49,F22))))))</f>
        <v>System or Facility</v>
      </c>
      <c r="I196" s="31" t="str">
        <f>IF(Settings!$D$15=$O$186,I169,IF(Settings!$D$15=$O$187,I145,IF(Settings!$D$15=$O$188,I121,IF(Settings!$D$15=$O$185,I97,IF(Settings!$D$15=$O$184,I73,IF(Settings!$D$15=$O$183,I49,I25))))))</f>
        <v>Extent &lt;10%</v>
      </c>
      <c r="K196" s="31" t="str">
        <f>IF(Settings!$D$15=$O$186,K169,IF(Settings!$D$15=$O$187,K145,IF(Settings!$D$15=$O$188,K121,IF(Settings!$D$15=$O$185,K97,IF(Settings!$D$15=$O$184,K73,IF(Settings!$D$15=$O$183,K49,K25))))))</f>
        <v>Rebuild on new site</v>
      </c>
      <c r="L196" s="8"/>
      <c r="Q196" s="31" t="str">
        <f>IF(Settings!$D$15=$O$186,Q169,IF(Settings!$D$15=$O$187,Q144,IF(Settings!$D$15=$O$188,Q120,IF(Settings!$D$15=$O$185,Q96,IF(Settings!$D$15=$O$184,Q73,IF(Settings!$D$15=$O$183,Q49,Q25))))))</f>
        <v>Interior finishes</v>
      </c>
      <c r="S196" s="96" t="str">
        <f>S20</f>
        <v>Natural surface water elements</v>
      </c>
    </row>
    <row r="197" spans="2:19" ht="45" customHeight="1" outlineLevel="1">
      <c r="B197" s="18"/>
      <c r="C197" s="18"/>
      <c r="D197" s="19"/>
      <c r="E197" s="20"/>
      <c r="F197" s="21"/>
      <c r="G197" s="22"/>
      <c r="H197" s="18"/>
      <c r="I197" s="23"/>
      <c r="J197" s="24"/>
      <c r="K197" s="23"/>
      <c r="L197" s="20"/>
      <c r="M197" s="20"/>
      <c r="N197" s="20"/>
      <c r="O197" s="20"/>
    </row>
    <row r="198" spans="2:19" outlineLevel="1"/>
    <row r="199" spans="2:19" outlineLevel="1"/>
    <row r="200" spans="2:19" ht="19" outlineLevel="1">
      <c r="C200" s="124" t="s">
        <v>1000</v>
      </c>
      <c r="D200" s="125"/>
      <c r="E200" s="126" t="s">
        <v>83</v>
      </c>
      <c r="F200" s="127"/>
      <c r="G200" s="126"/>
      <c r="H200" s="124"/>
      <c r="I200" s="124" t="s">
        <v>84</v>
      </c>
      <c r="J200" s="128"/>
      <c r="K200" s="124" t="s">
        <v>85</v>
      </c>
      <c r="L200" s="124" t="s">
        <v>202</v>
      </c>
      <c r="M200" s="124" t="s">
        <v>87</v>
      </c>
      <c r="N200" s="124" t="s">
        <v>265</v>
      </c>
      <c r="O200" s="124" t="s">
        <v>86</v>
      </c>
    </row>
    <row r="201" spans="2:19" ht="16" customHeight="1" outlineLevel="1">
      <c r="C201" s="73" t="str">
        <f>IF(Settings!$D$15=$O$183,I201,IF(Settings!$D$15=$O$184,K201,IF(Settings!$D$15=$O$185,L201,IF(Settings!$D$15=$O$188,M201,IF(Settings!$D$15=$O$187,N201,IF(Settings!$D$15=$O$186,O201,E201))))))</f>
        <v>Soil and site</v>
      </c>
      <c r="E201" s="107" t="s">
        <v>0</v>
      </c>
      <c r="F201" s="118"/>
      <c r="G201" s="119"/>
      <c r="H201" s="118"/>
      <c r="I201" s="107" t="s">
        <v>132</v>
      </c>
      <c r="J201" s="122"/>
      <c r="K201" s="107" t="s">
        <v>164</v>
      </c>
      <c r="L201" s="107" t="s">
        <v>205</v>
      </c>
      <c r="M201" s="108" t="s">
        <v>268</v>
      </c>
      <c r="N201" s="108" t="s">
        <v>363</v>
      </c>
      <c r="O201" s="109" t="s">
        <v>366</v>
      </c>
    </row>
    <row r="202" spans="2:19" outlineLevel="1">
      <c r="C202" s="74" t="str">
        <f>IF(Settings!$D$15=$O$183,I202,IF(Settings!$D$15=$O$184,K202,IF(Settings!$D$15=$O$185,L202,IF(Settings!$D$15=$O$188,M202,IF(Settings!$D$15=$O$187,N202,IF(Settings!$D$15=$O$186,O202,E202))))))</f>
        <v>Landfills</v>
      </c>
      <c r="E202" s="110" t="s">
        <v>22</v>
      </c>
      <c r="F202" s="120"/>
      <c r="G202" s="121"/>
      <c r="H202" s="129"/>
      <c r="I202" s="111" t="s">
        <v>436</v>
      </c>
      <c r="J202" s="123"/>
      <c r="K202" s="112" t="s">
        <v>531</v>
      </c>
      <c r="L202" s="112" t="s">
        <v>625</v>
      </c>
      <c r="M202" s="112" t="s">
        <v>719</v>
      </c>
      <c r="N202" s="112" t="s">
        <v>720</v>
      </c>
      <c r="O202" s="112" t="s">
        <v>721</v>
      </c>
    </row>
    <row r="203" spans="2:19" outlineLevel="1">
      <c r="C203" s="74" t="str">
        <f>IF(Settings!$D$15=$O$183,I203,IF(Settings!$D$15=$O$184,K203,IF(Settings!$D$15=$O$185,L203,IF(Settings!$D$15=$O$188,M203,IF(Settings!$D$15=$O$187,N203,IF(Settings!$D$15=$O$186,O203,E203))))))</f>
        <v>Surface debris or flood</v>
      </c>
      <c r="E203" s="113" t="s">
        <v>1474</v>
      </c>
      <c r="F203" s="120"/>
      <c r="G203" s="121"/>
      <c r="H203" s="129"/>
      <c r="I203" s="111" t="s">
        <v>437</v>
      </c>
      <c r="J203" s="123"/>
      <c r="K203" s="112" t="s">
        <v>532</v>
      </c>
      <c r="L203" s="112" t="s">
        <v>626</v>
      </c>
      <c r="M203" s="112" t="s">
        <v>722</v>
      </c>
      <c r="N203" s="112" t="s">
        <v>723</v>
      </c>
      <c r="O203" s="112" t="s">
        <v>724</v>
      </c>
    </row>
    <row r="204" spans="2:19" outlineLevel="1">
      <c r="C204" s="74" t="str">
        <f>IF(Settings!$D$15=$O$183,I204,IF(Settings!$D$15=$O$184,K204,IF(Settings!$D$15=$O$185,L204,IF(Settings!$D$15=$O$188,M204,IF(Settings!$D$15=$O$187,N204,IF(Settings!$D$15=$O$186,O204,E204))))))</f>
        <v xml:space="preserve">Top soil </v>
      </c>
      <c r="E204" s="114" t="s">
        <v>1475</v>
      </c>
      <c r="F204" s="120"/>
      <c r="G204" s="121"/>
      <c r="H204" s="129"/>
      <c r="I204" s="111" t="s">
        <v>438</v>
      </c>
      <c r="J204" s="123"/>
      <c r="K204" s="112" t="s">
        <v>533</v>
      </c>
      <c r="L204" s="112" t="s">
        <v>627</v>
      </c>
      <c r="M204" s="112" t="s">
        <v>725</v>
      </c>
      <c r="N204" s="112" t="s">
        <v>726</v>
      </c>
      <c r="O204" s="112" t="s">
        <v>727</v>
      </c>
    </row>
    <row r="205" spans="2:19" outlineLevel="1">
      <c r="C205" s="74" t="str">
        <f>IF(Settings!$D$15=$O$183,I205,IF(Settings!$D$15=$O$184,K205,IF(Settings!$D$15=$O$185,L205,IF(Settings!$D$15=$O$188,M205,IF(Settings!$D$15=$O$187,N205,IF(Settings!$D$15=$O$186,O205,E205))))))</f>
        <v>Local atmosphere</v>
      </c>
      <c r="E205" s="114" t="s">
        <v>109</v>
      </c>
      <c r="F205" s="120"/>
      <c r="G205" s="121"/>
      <c r="H205" s="129"/>
      <c r="I205" s="111" t="s">
        <v>439</v>
      </c>
      <c r="J205" s="123"/>
      <c r="K205" s="112" t="s">
        <v>534</v>
      </c>
      <c r="L205" s="112" t="s">
        <v>628</v>
      </c>
      <c r="M205" s="112" t="s">
        <v>728</v>
      </c>
      <c r="N205" s="112" t="s">
        <v>729</v>
      </c>
      <c r="O205" s="112" t="s">
        <v>730</v>
      </c>
    </row>
    <row r="206" spans="2:19" outlineLevel="1">
      <c r="C206" s="74" t="str">
        <f>IF(Settings!$D$15=$O$183,I206,IF(Settings!$D$15=$O$184,K206,IF(Settings!$D$15=$O$185,L206,IF(Settings!$D$15=$O$188,M206,IF(Settings!$D$15=$O$187,N206,IF(Settings!$D$15=$O$186,O206,E206))))))</f>
        <v>Water table / aquifer</v>
      </c>
      <c r="E206" s="114" t="s">
        <v>11</v>
      </c>
      <c r="F206" s="120"/>
      <c r="G206" s="121"/>
      <c r="H206" s="129"/>
      <c r="I206" s="111" t="s">
        <v>440</v>
      </c>
      <c r="J206" s="123"/>
      <c r="K206" s="112" t="s">
        <v>535</v>
      </c>
      <c r="L206" s="112" t="s">
        <v>629</v>
      </c>
      <c r="M206" s="112" t="s">
        <v>731</v>
      </c>
      <c r="N206" s="112" t="s">
        <v>732</v>
      </c>
      <c r="O206" s="112" t="s">
        <v>733</v>
      </c>
    </row>
    <row r="207" spans="2:19" outlineLevel="1">
      <c r="C207" s="74" t="str">
        <f>IF(Settings!$D$15=$O$183,I207,IF(Settings!$D$15=$O$184,K207,IF(Settings!$D$15=$O$185,L207,IF(Settings!$D$15=$O$188,M207,IF(Settings!$D$15=$O$187,N207,IF(Settings!$D$15=$O$186,O207,E207))))))</f>
        <v>Surface water</v>
      </c>
      <c r="E207" s="114" t="s">
        <v>1436</v>
      </c>
      <c r="F207" s="120"/>
      <c r="G207" s="121"/>
      <c r="H207" s="129"/>
      <c r="I207" s="111" t="s">
        <v>441</v>
      </c>
      <c r="J207" s="123"/>
      <c r="K207" s="112" t="s">
        <v>536</v>
      </c>
      <c r="L207" s="112" t="s">
        <v>630</v>
      </c>
      <c r="M207" s="112" t="s">
        <v>734</v>
      </c>
      <c r="N207" s="112" t="s">
        <v>735</v>
      </c>
      <c r="O207" s="112" t="s">
        <v>736</v>
      </c>
    </row>
    <row r="208" spans="2:19" outlineLevel="1">
      <c r="C208" s="74" t="str">
        <f>IF(Settings!$D$15=$O$183,I208,IF(Settings!$D$15=$O$184,K208,IF(Settings!$D$15=$O$185,L208,IF(Settings!$D$15=$O$188,M208,IF(Settings!$D$15=$O$187,N208,IF(Settings!$D$15=$O$186,O208,E208))))))</f>
        <v>Natural landscape</v>
      </c>
      <c r="E208" s="114" t="s">
        <v>1451</v>
      </c>
      <c r="F208" s="120"/>
      <c r="G208" s="121"/>
      <c r="H208" s="129"/>
      <c r="I208" s="111" t="s">
        <v>442</v>
      </c>
      <c r="J208" s="123"/>
      <c r="K208" s="112" t="s">
        <v>537</v>
      </c>
      <c r="L208" s="112" t="s">
        <v>631</v>
      </c>
      <c r="M208" s="112" t="s">
        <v>737</v>
      </c>
      <c r="N208" s="112" t="s">
        <v>738</v>
      </c>
      <c r="O208" s="112" t="s">
        <v>739</v>
      </c>
    </row>
    <row r="209" spans="3:15" outlineLevel="1">
      <c r="C209" s="74" t="str">
        <f>IF(Settings!$D$15=$O$183,I209,IF(Settings!$D$15=$O$184,K209,IF(Settings!$D$15=$O$185,L209,IF(Settings!$D$15=$O$188,M209,IF(Settings!$D$15=$O$187,N209,IF(Settings!$D$15=$O$186,O209,E209))))))</f>
        <v>Park/landscape</v>
      </c>
      <c r="E209" s="114" t="s">
        <v>1456</v>
      </c>
      <c r="F209" s="120"/>
      <c r="G209" s="121"/>
      <c r="H209" s="129"/>
      <c r="I209" s="111" t="s">
        <v>443</v>
      </c>
      <c r="J209" s="123"/>
      <c r="K209" s="112" t="s">
        <v>538</v>
      </c>
      <c r="L209" s="112" t="s">
        <v>632</v>
      </c>
      <c r="M209" s="112" t="s">
        <v>740</v>
      </c>
      <c r="N209" s="112" t="s">
        <v>741</v>
      </c>
      <c r="O209" s="112" t="s">
        <v>742</v>
      </c>
    </row>
    <row r="210" spans="3:15" outlineLevel="1">
      <c r="C210" s="74" t="str">
        <f>IF(Settings!$D$15=$O$183,I210,IF(Settings!$D$15=$O$184,K210,IF(Settings!$D$15=$O$185,L210,IF(Settings!$D$15=$O$188,M210,IF(Settings!$D$15=$O$187,N210,IF(Settings!$D$15=$O$186,O210,E210))))))</f>
        <v>Urban tree grove(s)</v>
      </c>
      <c r="E210" s="114" t="s">
        <v>1450</v>
      </c>
      <c r="F210" s="120"/>
      <c r="G210" s="121"/>
      <c r="H210" s="129"/>
      <c r="I210" s="111" t="s">
        <v>444</v>
      </c>
      <c r="J210" s="123"/>
      <c r="K210" s="112" t="s">
        <v>539</v>
      </c>
      <c r="L210" s="112" t="s">
        <v>633</v>
      </c>
      <c r="M210" s="112" t="s">
        <v>743</v>
      </c>
      <c r="N210" s="112" t="s">
        <v>744</v>
      </c>
      <c r="O210" s="112" t="s">
        <v>745</v>
      </c>
    </row>
    <row r="211" spans="3:15" outlineLevel="1">
      <c r="C211" s="74" t="str">
        <f>IF(Settings!$D$15=$O$183,I211,IF(Settings!$D$15=$O$184,K211,IF(Settings!$D$15=$O$185,L211,IF(Settings!$D$15=$O$188,M211,IF(Settings!$D$15=$O$187,N211,IF(Settings!$D$15=$O$186,O211,E211))))))</f>
        <v>Community garden(s)</v>
      </c>
      <c r="E211" s="114" t="s">
        <v>14</v>
      </c>
      <c r="F211" s="120"/>
      <c r="G211" s="121"/>
      <c r="H211" s="129"/>
      <c r="I211" s="111" t="s">
        <v>498</v>
      </c>
      <c r="J211" s="123"/>
      <c r="K211" s="112" t="s">
        <v>592</v>
      </c>
      <c r="L211" s="112" t="s">
        <v>686</v>
      </c>
      <c r="M211" s="112" t="s">
        <v>901</v>
      </c>
      <c r="N211" s="112" t="s">
        <v>902</v>
      </c>
      <c r="O211" s="112" t="s">
        <v>903</v>
      </c>
    </row>
    <row r="212" spans="3:15" outlineLevel="1">
      <c r="C212" s="74" t="str">
        <f>IF(Settings!$D$15=$O$183,I212,IF(Settings!$D$15=$O$184,K212,IF(Settings!$D$15=$O$185,L212,IF(Settings!$D$15=$O$188,M212,IF(Settings!$D$15=$O$187,N212,IF(Settings!$D$15=$O$186,O212,E212))))))</f>
        <v>Sports field</v>
      </c>
      <c r="E212" s="114" t="s">
        <v>1457</v>
      </c>
      <c r="F212" s="120"/>
      <c r="G212" s="121"/>
      <c r="H212" s="129"/>
      <c r="I212" s="111" t="s">
        <v>497</v>
      </c>
      <c r="J212" s="123"/>
      <c r="K212" s="112" t="s">
        <v>591</v>
      </c>
      <c r="L212" s="112" t="s">
        <v>685</v>
      </c>
      <c r="M212" s="112" t="s">
        <v>898</v>
      </c>
      <c r="N212" s="112" t="s">
        <v>899</v>
      </c>
      <c r="O212" s="112" t="s">
        <v>900</v>
      </c>
    </row>
    <row r="213" spans="3:15" outlineLevel="1">
      <c r="C213" s="75" t="str">
        <f>IF(Settings!$D$15=$O$183,I213,IF(Settings!$D$15=$O$184,K213,IF(Settings!$D$15=$O$185,L213,IF(Settings!$D$15=$O$188,M213,IF(Settings!$D$15=$O$187,N213,IF(Settings!$D$15=$O$186,O213,E213))))))</f>
        <v>Public utilities and services 1</v>
      </c>
      <c r="E213" s="107" t="s">
        <v>112</v>
      </c>
      <c r="F213" s="118"/>
      <c r="G213" s="119"/>
      <c r="H213" s="118"/>
      <c r="I213" s="107" t="s">
        <v>133</v>
      </c>
      <c r="J213" s="122"/>
      <c r="K213" s="107" t="s">
        <v>140</v>
      </c>
      <c r="L213" s="107" t="s">
        <v>206</v>
      </c>
      <c r="M213" s="108" t="s">
        <v>269</v>
      </c>
      <c r="N213" s="108" t="s">
        <v>303</v>
      </c>
      <c r="O213" s="109" t="s">
        <v>367</v>
      </c>
    </row>
    <row r="214" spans="3:15" outlineLevel="1">
      <c r="C214" s="74" t="str">
        <f>IF(Settings!$D$15=$O$183,I214,IF(Settings!$D$15=$O$184,K214,IF(Settings!$D$15=$O$185,L214,IF(Settings!$D$15=$O$188,M214,IF(Settings!$D$15=$O$187,N214,IF(Settings!$D$15=$O$186,O214,E214))))))</f>
        <v>Coal thermal power plant</v>
      </c>
      <c r="E214" s="113" t="s">
        <v>1764</v>
      </c>
      <c r="F214" s="120"/>
      <c r="G214" s="121"/>
      <c r="H214" s="129"/>
      <c r="I214" s="111" t="s">
        <v>1364</v>
      </c>
      <c r="J214" s="123"/>
      <c r="K214" s="112" t="s">
        <v>1365</v>
      </c>
      <c r="L214" s="112" t="s">
        <v>1366</v>
      </c>
      <c r="M214" s="112" t="s">
        <v>1367</v>
      </c>
      <c r="N214" s="112" t="s">
        <v>1368</v>
      </c>
      <c r="O214" s="112" t="s">
        <v>1369</v>
      </c>
    </row>
    <row r="215" spans="3:15" outlineLevel="1">
      <c r="C215" s="74" t="str">
        <f>IF(Settings!$D$15=$O$183,I215,IF(Settings!$D$15=$O$184,K215,IF(Settings!$D$15=$O$185,L215,IF(Settings!$D$15=$O$188,M215,IF(Settings!$D$15=$O$187,N215,IF(Settings!$D$15=$O$186,O215,E215))))))</f>
        <v>Hydroelectric power plant</v>
      </c>
      <c r="E215" s="114" t="s">
        <v>1765</v>
      </c>
      <c r="F215" s="120"/>
      <c r="G215" s="121"/>
      <c r="H215" s="129"/>
      <c r="I215" s="111" t="s">
        <v>1352</v>
      </c>
      <c r="J215" s="123"/>
      <c r="K215" s="112" t="s">
        <v>1354</v>
      </c>
      <c r="L215" s="112" t="s">
        <v>1356</v>
      </c>
      <c r="M215" s="112" t="s">
        <v>1358</v>
      </c>
      <c r="N215" s="112" t="s">
        <v>1360</v>
      </c>
      <c r="O215" s="112" t="s">
        <v>1362</v>
      </c>
    </row>
    <row r="216" spans="3:15" outlineLevel="1">
      <c r="C216" s="74" t="str">
        <f>IF(Settings!$D$15=$O$183,I216,IF(Settings!$D$15=$O$184,K216,IF(Settings!$D$15=$O$185,L216,IF(Settings!$D$15=$O$188,M216,IF(Settings!$D$15=$O$187,N216,IF(Settings!$D$15=$O$186,O216,E216))))))</f>
        <v>Nuclear power plant</v>
      </c>
      <c r="E216" s="114" t="s">
        <v>1351</v>
      </c>
      <c r="F216" s="120"/>
      <c r="G216" s="121"/>
      <c r="H216" s="129"/>
      <c r="I216" s="111" t="s">
        <v>1353</v>
      </c>
      <c r="J216" s="123"/>
      <c r="K216" s="112" t="s">
        <v>1355</v>
      </c>
      <c r="L216" s="112" t="s">
        <v>1357</v>
      </c>
      <c r="M216" s="112" t="s">
        <v>1359</v>
      </c>
      <c r="N216" s="112" t="s">
        <v>1361</v>
      </c>
      <c r="O216" s="112" t="s">
        <v>1363</v>
      </c>
    </row>
    <row r="217" spans="3:15" ht="28" outlineLevel="1">
      <c r="C217" s="74" t="str">
        <f>IF(Settings!$D$15=$O$183,I217,IF(Settings!$D$15=$O$184,K217,IF(Settings!$D$15=$O$185,L217,IF(Settings!$D$15=$O$188,M217,IF(Settings!$D$15=$O$187,N217,IF(Settings!$D$15=$O$186,O217,E217))))))</f>
        <v>District heating plant</v>
      </c>
      <c r="E217" s="114" t="s">
        <v>1452</v>
      </c>
      <c r="F217" s="120"/>
      <c r="G217" s="121"/>
      <c r="H217" s="129"/>
      <c r="I217" s="115" t="s">
        <v>456</v>
      </c>
      <c r="J217" s="123"/>
      <c r="K217" s="112" t="s">
        <v>551</v>
      </c>
      <c r="L217" s="112" t="s">
        <v>645</v>
      </c>
      <c r="M217" s="112" t="s">
        <v>779</v>
      </c>
      <c r="N217" s="112" t="s">
        <v>780</v>
      </c>
      <c r="O217" s="112" t="s">
        <v>781</v>
      </c>
    </row>
    <row r="218" spans="3:15" outlineLevel="1">
      <c r="C218" s="74" t="str">
        <f>IF(Settings!$D$15=$O$183,I218,IF(Settings!$D$15=$O$184,K218,IF(Settings!$D$15=$O$185,L218,IF(Settings!$D$15=$O$188,M218,IF(Settings!$D$15=$O$187,N218,IF(Settings!$D$15=$O$186,O218,E218))))))</f>
        <v>District heating distribution</v>
      </c>
      <c r="E218" s="114" t="s">
        <v>1453</v>
      </c>
      <c r="F218" s="120"/>
      <c r="G218" s="121"/>
      <c r="H218" s="129"/>
      <c r="I218" s="115" t="s">
        <v>463</v>
      </c>
      <c r="J218" s="123"/>
      <c r="K218" s="112" t="s">
        <v>558</v>
      </c>
      <c r="L218" s="112" t="s">
        <v>652</v>
      </c>
      <c r="M218" s="112" t="s">
        <v>800</v>
      </c>
      <c r="N218" s="112" t="s">
        <v>801</v>
      </c>
      <c r="O218" s="112" t="s">
        <v>802</v>
      </c>
    </row>
    <row r="219" spans="3:15" outlineLevel="1">
      <c r="C219" s="74" t="str">
        <f>IF(Settings!$D$15=$O$183,I219,IF(Settings!$D$15=$O$184,K219,IF(Settings!$D$15=$O$185,L219,IF(Settings!$D$15=$O$188,M219,IF(Settings!$D$15=$O$187,N219,IF(Settings!$D$15=$O$186,O219,E219))))))</f>
        <v>Solar PV farm</v>
      </c>
      <c r="E219" s="114" t="s">
        <v>1768</v>
      </c>
      <c r="F219" s="120"/>
      <c r="G219" s="121"/>
      <c r="H219" s="129"/>
      <c r="I219" s="111" t="s">
        <v>445</v>
      </c>
      <c r="J219" s="123"/>
      <c r="K219" s="112" t="s">
        <v>540</v>
      </c>
      <c r="L219" s="112" t="s">
        <v>634</v>
      </c>
      <c r="M219" s="112" t="s">
        <v>746</v>
      </c>
      <c r="N219" s="112" t="s">
        <v>747</v>
      </c>
      <c r="O219" s="112" t="s">
        <v>748</v>
      </c>
    </row>
    <row r="220" spans="3:15" outlineLevel="1">
      <c r="C220" s="74" t="str">
        <f>IF(Settings!$D$15=$O$183,I220,IF(Settings!$D$15=$O$184,K220,IF(Settings!$D$15=$O$185,L220,IF(Settings!$D$15=$O$188,M220,IF(Settings!$D$15=$O$187,N220,IF(Settings!$D$15=$O$186,O220,E220))))))</f>
        <v>Wind turbine farm</v>
      </c>
      <c r="E220" s="114" t="s">
        <v>1556</v>
      </c>
      <c r="F220" s="120"/>
      <c r="G220" s="121"/>
      <c r="H220" s="129"/>
      <c r="I220" s="111" t="s">
        <v>446</v>
      </c>
      <c r="J220" s="123"/>
      <c r="K220" s="112" t="s">
        <v>541</v>
      </c>
      <c r="L220" s="112" t="s">
        <v>635</v>
      </c>
      <c r="M220" s="112" t="s">
        <v>749</v>
      </c>
      <c r="N220" s="112" t="s">
        <v>750</v>
      </c>
      <c r="O220" s="112" t="s">
        <v>751</v>
      </c>
    </row>
    <row r="221" spans="3:15" outlineLevel="1">
      <c r="C221" s="74" t="str">
        <f>IF(Settings!$D$15=$O$183,I221,IF(Settings!$D$15=$O$184,K221,IF(Settings!$D$15=$O$185,L221,IF(Settings!$D$15=$O$188,M221,IF(Settings!$D$15=$O$187,N221,IF(Settings!$D$15=$O$186,O221,E221))))))</f>
        <v>Energy storage facility</v>
      </c>
      <c r="E221" s="114" t="s">
        <v>9</v>
      </c>
      <c r="F221" s="120"/>
      <c r="G221" s="121"/>
      <c r="H221" s="129"/>
      <c r="I221" s="111" t="s">
        <v>447</v>
      </c>
      <c r="J221" s="123"/>
      <c r="K221" s="112" t="s">
        <v>542</v>
      </c>
      <c r="L221" s="112" t="s">
        <v>636</v>
      </c>
      <c r="M221" s="112" t="s">
        <v>752</v>
      </c>
      <c r="N221" s="112" t="s">
        <v>753</v>
      </c>
      <c r="O221" s="112" t="s">
        <v>754</v>
      </c>
    </row>
    <row r="222" spans="3:15" outlineLevel="1">
      <c r="C222" s="74" t="str">
        <f>IF(Settings!$D$15=$O$183,I222,IF(Settings!$D$15=$O$184,K222,IF(Settings!$D$15=$O$185,L222,IF(Settings!$D$15=$O$188,M222,IF(Settings!$D$15=$O$187,N222,IF(Settings!$D$15=$O$186,O222,E222))))))</f>
        <v>Town Gas storage tanks</v>
      </c>
      <c r="E222" s="114" t="s">
        <v>110</v>
      </c>
      <c r="F222" s="120"/>
      <c r="G222" s="121"/>
      <c r="H222" s="129"/>
      <c r="I222" s="111" t="s">
        <v>448</v>
      </c>
      <c r="J222" s="123"/>
      <c r="K222" s="112" t="s">
        <v>543</v>
      </c>
      <c r="L222" s="112" t="s">
        <v>637</v>
      </c>
      <c r="M222" s="112" t="s">
        <v>755</v>
      </c>
      <c r="N222" s="112" t="s">
        <v>756</v>
      </c>
      <c r="O222" s="112" t="s">
        <v>757</v>
      </c>
    </row>
    <row r="223" spans="3:15" outlineLevel="1">
      <c r="C223" s="74" t="str">
        <f>IF(Settings!$D$15=$O$183,I223,IF(Settings!$D$15=$O$184,K223,IF(Settings!$D$15=$O$185,L223,IF(Settings!$D$15=$O$188,M223,IF(Settings!$D$15=$O$187,N223,IF(Settings!$D$15=$O$186,O223,E223))))))</f>
        <v>High-voltage elec. distribution</v>
      </c>
      <c r="E223" s="114" t="s">
        <v>1459</v>
      </c>
      <c r="F223" s="120"/>
      <c r="G223" s="121"/>
      <c r="H223" s="129"/>
      <c r="I223" s="111" t="s">
        <v>449</v>
      </c>
      <c r="J223" s="123"/>
      <c r="K223" s="112" t="s">
        <v>544</v>
      </c>
      <c r="L223" s="112" t="s">
        <v>638</v>
      </c>
      <c r="M223" s="112" t="s">
        <v>758</v>
      </c>
      <c r="N223" s="112" t="s">
        <v>759</v>
      </c>
      <c r="O223" s="112" t="s">
        <v>760</v>
      </c>
    </row>
    <row r="224" spans="3:15" outlineLevel="1">
      <c r="C224" s="74" t="str">
        <f>IF(Settings!$D$15=$O$183,I224,IF(Settings!$D$15=$O$184,K224,IF(Settings!$D$15=$O$185,L224,IF(Settings!$D$15=$O$188,M224,IF(Settings!$D$15=$O$187,N224,IF(Settings!$D$15=$O$186,O224,E224))))))</f>
        <v>Low voltage elec. distribution</v>
      </c>
      <c r="E224" s="114" t="s">
        <v>1460</v>
      </c>
      <c r="F224" s="120"/>
      <c r="G224" s="121"/>
      <c r="H224" s="129"/>
      <c r="I224" s="111" t="s">
        <v>450</v>
      </c>
      <c r="J224" s="123"/>
      <c r="K224" s="112" t="s">
        <v>545</v>
      </c>
      <c r="L224" s="112" t="s">
        <v>639</v>
      </c>
      <c r="M224" s="112" t="s">
        <v>761</v>
      </c>
      <c r="N224" s="112" t="s">
        <v>762</v>
      </c>
      <c r="O224" s="112" t="s">
        <v>763</v>
      </c>
    </row>
    <row r="225" spans="3:15" outlineLevel="1">
      <c r="C225" s="74" t="str">
        <f>IF(Settings!$D$15=$O$183,I225,IF(Settings!$D$15=$O$184,K225,IF(Settings!$D$15=$O$185,L225,IF(Settings!$D$15=$O$188,M225,IF(Settings!$D$15=$O$187,N225,IF(Settings!$D$15=$O$186,O225,E225))))))</f>
        <v>Electric sub-station</v>
      </c>
      <c r="E225" s="114" t="s">
        <v>1461</v>
      </c>
      <c r="F225" s="120"/>
      <c r="G225" s="121"/>
      <c r="H225" s="129"/>
      <c r="I225" s="111" t="s">
        <v>451</v>
      </c>
      <c r="J225" s="123"/>
      <c r="K225" s="112" t="s">
        <v>546</v>
      </c>
      <c r="L225" s="112" t="s">
        <v>640</v>
      </c>
      <c r="M225" s="112" t="s">
        <v>764</v>
      </c>
      <c r="N225" s="112" t="s">
        <v>765</v>
      </c>
      <c r="O225" s="112" t="s">
        <v>766</v>
      </c>
    </row>
    <row r="226" spans="3:15" outlineLevel="1">
      <c r="C226" s="74" t="str">
        <f>IF(Settings!$D$15=$O$183,I226,IF(Settings!$D$15=$O$184,K226,IF(Settings!$D$15=$O$185,L226,IF(Settings!$D$15=$O$188,M226,IF(Settings!$D$15=$O$187,N226,IF(Settings!$D$15=$O$186,O226,E226))))))</f>
        <v>DC charging station</v>
      </c>
      <c r="E226" s="114" t="s">
        <v>1462</v>
      </c>
      <c r="F226" s="120"/>
      <c r="G226" s="121"/>
      <c r="H226" s="129"/>
      <c r="I226" s="111" t="s">
        <v>452</v>
      </c>
      <c r="J226" s="123"/>
      <c r="K226" s="112" t="s">
        <v>547</v>
      </c>
      <c r="L226" s="112" t="s">
        <v>641</v>
      </c>
      <c r="M226" s="112" t="s">
        <v>767</v>
      </c>
      <c r="N226" s="112" t="s">
        <v>768</v>
      </c>
      <c r="O226" s="112" t="s">
        <v>769</v>
      </c>
    </row>
    <row r="227" spans="3:15" outlineLevel="1">
      <c r="C227" s="74" t="str">
        <f>IF(Settings!$D$15=$O$183,I227,IF(Settings!$D$15=$O$184,K227,IF(Settings!$D$15=$O$185,L227,IF(Settings!$D$15=$O$188,M227,IF(Settings!$D$15=$O$187,N227,IF(Settings!$D$15=$O$186,O227,E227))))))</f>
        <v>Street lighting system</v>
      </c>
      <c r="E227" s="114" t="s">
        <v>12</v>
      </c>
      <c r="F227" s="120"/>
      <c r="G227" s="121"/>
      <c r="H227" s="129"/>
      <c r="I227" s="111" t="s">
        <v>453</v>
      </c>
      <c r="J227" s="123"/>
      <c r="K227" s="112" t="s">
        <v>548</v>
      </c>
      <c r="L227" s="112" t="s">
        <v>642</v>
      </c>
      <c r="M227" s="112" t="s">
        <v>770</v>
      </c>
      <c r="N227" s="112" t="s">
        <v>771</v>
      </c>
      <c r="O227" s="112" t="s">
        <v>772</v>
      </c>
    </row>
    <row r="228" spans="3:15" outlineLevel="1">
      <c r="C228" s="74" t="str">
        <f>IF(Settings!$D$15=$O$183,I228,IF(Settings!$D$15=$O$184,K228,IF(Settings!$D$15=$O$185,L228,IF(Settings!$D$15=$O$188,M228,IF(Settings!$D$15=$O$187,N228,IF(Settings!$D$15=$O$186,O228,E228))))))</f>
        <v>Fibre telecom network</v>
      </c>
      <c r="E228" s="114" t="s">
        <v>1463</v>
      </c>
      <c r="F228" s="120"/>
      <c r="G228" s="121"/>
      <c r="H228" s="129"/>
      <c r="I228" s="111" t="s">
        <v>454</v>
      </c>
      <c r="J228" s="123"/>
      <c r="K228" s="112" t="s">
        <v>549</v>
      </c>
      <c r="L228" s="112" t="s">
        <v>643</v>
      </c>
      <c r="M228" s="112" t="s">
        <v>773</v>
      </c>
      <c r="N228" s="112" t="s">
        <v>774</v>
      </c>
      <c r="O228" s="112" t="s">
        <v>775</v>
      </c>
    </row>
    <row r="229" spans="3:15" outlineLevel="1">
      <c r="C229" s="74" t="str">
        <f>IF(Settings!$D$15=$O$183,I229,IF(Settings!$D$15=$O$184,K229,IF(Settings!$D$15=$O$185,L229,IF(Settings!$D$15=$O$188,M229,IF(Settings!$D$15=$O$187,N229,IF(Settings!$D$15=$O$186,O229,E229))))))</f>
        <v>Dock or harbour</v>
      </c>
      <c r="E229" s="114" t="s">
        <v>20</v>
      </c>
      <c r="F229" s="120"/>
      <c r="G229" s="121"/>
      <c r="H229" s="129"/>
      <c r="I229" s="111" t="s">
        <v>455</v>
      </c>
      <c r="J229" s="123"/>
      <c r="K229" s="112" t="s">
        <v>550</v>
      </c>
      <c r="L229" s="112" t="s">
        <v>644</v>
      </c>
      <c r="M229" s="112" t="s">
        <v>776</v>
      </c>
      <c r="N229" s="112" t="s">
        <v>777</v>
      </c>
      <c r="O229" s="112" t="s">
        <v>778</v>
      </c>
    </row>
    <row r="230" spans="3:15" outlineLevel="1">
      <c r="C230" s="75" t="str">
        <f>IF(Settings!$D$15=$O$183,I230,IF(Settings!$D$15=$O$184,K230,IF(Settings!$D$15=$O$185,L230,IF(Settings!$D$15=$O$188,M230,IF(Settings!$D$15=$O$187,N230,IF(Settings!$D$15=$O$186,O230,E230))))))</f>
        <v>Public utilities and services 2</v>
      </c>
      <c r="E230" s="107" t="s">
        <v>111</v>
      </c>
      <c r="F230" s="118"/>
      <c r="G230" s="119"/>
      <c r="H230" s="118"/>
      <c r="I230" s="107" t="s">
        <v>134</v>
      </c>
      <c r="J230" s="122"/>
      <c r="K230" s="107" t="s">
        <v>141</v>
      </c>
      <c r="L230" s="107" t="s">
        <v>207</v>
      </c>
      <c r="M230" s="108" t="s">
        <v>270</v>
      </c>
      <c r="N230" s="108" t="s">
        <v>304</v>
      </c>
      <c r="O230" s="109" t="s">
        <v>368</v>
      </c>
    </row>
    <row r="231" spans="3:15" outlineLevel="1">
      <c r="C231" s="74" t="str">
        <f>IF(Settings!$D$15=$O$183,I231,IF(Settings!$D$15=$O$184,K231,IF(Settings!$D$15=$O$185,L231,IF(Settings!$D$15=$O$188,M231,IF(Settings!$D$15=$O$187,N231,IF(Settings!$D$15=$O$186,O231,E231))))))</f>
        <v>Combined water/sewage system</v>
      </c>
      <c r="E231" s="113" t="s">
        <v>1464</v>
      </c>
      <c r="F231" s="120"/>
      <c r="G231" s="121"/>
      <c r="H231" s="129"/>
      <c r="I231" s="111" t="s">
        <v>457</v>
      </c>
      <c r="J231" s="123"/>
      <c r="K231" s="112" t="s">
        <v>552</v>
      </c>
      <c r="L231" s="112" t="s">
        <v>646</v>
      </c>
      <c r="M231" s="112" t="s">
        <v>782</v>
      </c>
      <c r="N231" s="112" t="s">
        <v>783</v>
      </c>
      <c r="O231" s="112" t="s">
        <v>784</v>
      </c>
    </row>
    <row r="232" spans="3:15" outlineLevel="1">
      <c r="C232" s="74" t="str">
        <f>IF(Settings!$D$15=$O$183,I232,IF(Settings!$D$15=$O$184,K232,IF(Settings!$D$15=$O$185,L232,IF(Settings!$D$15=$O$188,M232,IF(Settings!$D$15=$O$187,N232,IF(Settings!$D$15=$O$186,O232,E232))))))</f>
        <v>Water treatment &amp; pumping</v>
      </c>
      <c r="E232" s="114" t="s">
        <v>1469</v>
      </c>
      <c r="F232" s="120"/>
      <c r="G232" s="121"/>
      <c r="H232" s="129"/>
      <c r="I232" s="111" t="s">
        <v>458</v>
      </c>
      <c r="J232" s="123"/>
      <c r="K232" s="112" t="s">
        <v>553</v>
      </c>
      <c r="L232" s="112" t="s">
        <v>647</v>
      </c>
      <c r="M232" s="112" t="s">
        <v>785</v>
      </c>
      <c r="N232" s="112" t="s">
        <v>786</v>
      </c>
      <c r="O232" s="112" t="s">
        <v>787</v>
      </c>
    </row>
    <row r="233" spans="3:15" outlineLevel="1">
      <c r="C233" s="74" t="str">
        <f>IF(Settings!$D$15=$O$183,I233,IF(Settings!$D$15=$O$184,K233,IF(Settings!$D$15=$O$185,L233,IF(Settings!$D$15=$O$188,M233,IF(Settings!$D$15=$O$187,N233,IF(Settings!$D$15=$O$186,O233,E233))))))</f>
        <v>Sewage treatment &amp; pumping</v>
      </c>
      <c r="E233" s="114" t="s">
        <v>1470</v>
      </c>
      <c r="F233" s="120"/>
      <c r="G233" s="121"/>
      <c r="H233" s="129"/>
      <c r="I233" s="111" t="s">
        <v>1138</v>
      </c>
      <c r="J233" s="123"/>
      <c r="K233" s="112" t="s">
        <v>1139</v>
      </c>
      <c r="L233" s="112" t="s">
        <v>1140</v>
      </c>
      <c r="M233" s="112" t="s">
        <v>1141</v>
      </c>
      <c r="N233" s="112" t="s">
        <v>1142</v>
      </c>
      <c r="O233" s="112" t="s">
        <v>1143</v>
      </c>
    </row>
    <row r="234" spans="3:15" outlineLevel="1">
      <c r="C234" s="74" t="str">
        <f>IF(Settings!$D$15=$O$183,I234,IF(Settings!$D$15=$O$184,K234,IF(Settings!$D$15=$O$185,L234,IF(Settings!$D$15=$O$188,M234,IF(Settings!$D$15=$O$187,N234,IF(Settings!$D$15=$O$186,O234,E234))))))</f>
        <v>Storm sewer</v>
      </c>
      <c r="E234" s="114" t="s">
        <v>1</v>
      </c>
      <c r="F234" s="120"/>
      <c r="G234" s="121"/>
      <c r="H234" s="129"/>
      <c r="I234" s="111" t="s">
        <v>459</v>
      </c>
      <c r="J234" s="123"/>
      <c r="K234" s="112" t="s">
        <v>554</v>
      </c>
      <c r="L234" s="112" t="s">
        <v>648</v>
      </c>
      <c r="M234" s="112" t="s">
        <v>788</v>
      </c>
      <c r="N234" s="112" t="s">
        <v>789</v>
      </c>
      <c r="O234" s="112" t="s">
        <v>790</v>
      </c>
    </row>
    <row r="235" spans="3:15" outlineLevel="1">
      <c r="C235" s="74" t="str">
        <f>IF(Settings!$D$15=$O$183,I235,IF(Settings!$D$15=$O$184,K235,IF(Settings!$D$15=$O$185,L235,IF(Settings!$D$15=$O$188,M235,IF(Settings!$D$15=$O$187,N235,IF(Settings!$D$15=$O$186,O235,E235))))))</f>
        <v>Sanitary sewer</v>
      </c>
      <c r="E235" s="114" t="s">
        <v>2</v>
      </c>
      <c r="F235" s="120"/>
      <c r="G235" s="121"/>
      <c r="H235" s="129"/>
      <c r="I235" s="111" t="s">
        <v>460</v>
      </c>
      <c r="J235" s="123"/>
      <c r="K235" s="112" t="s">
        <v>555</v>
      </c>
      <c r="L235" s="112" t="s">
        <v>649</v>
      </c>
      <c r="M235" s="112" t="s">
        <v>791</v>
      </c>
      <c r="N235" s="112" t="s">
        <v>792</v>
      </c>
      <c r="O235" s="112" t="s">
        <v>793</v>
      </c>
    </row>
    <row r="236" spans="3:15" outlineLevel="1">
      <c r="C236" s="74" t="str">
        <f>IF(Settings!$D$15=$O$183,I236,IF(Settings!$D$15=$O$184,K236,IF(Settings!$D$15=$O$185,L236,IF(Settings!$D$15=$O$188,M236,IF(Settings!$D$15=$O$187,N236,IF(Settings!$D$15=$O$186,O236,E236))))))</f>
        <v>Gas pumping and distribution</v>
      </c>
      <c r="E236" s="114" t="s">
        <v>2258</v>
      </c>
      <c r="F236" s="120"/>
      <c r="G236" s="121"/>
      <c r="H236" s="129"/>
      <c r="I236" s="111" t="s">
        <v>461</v>
      </c>
      <c r="J236" s="123"/>
      <c r="K236" s="112" t="s">
        <v>556</v>
      </c>
      <c r="L236" s="112" t="s">
        <v>650</v>
      </c>
      <c r="M236" s="112" t="s">
        <v>794</v>
      </c>
      <c r="N236" s="112" t="s">
        <v>795</v>
      </c>
      <c r="O236" s="112" t="s">
        <v>796</v>
      </c>
    </row>
    <row r="237" spans="3:15" outlineLevel="1">
      <c r="C237" s="74" t="str">
        <f>IF(Settings!$D$15=$O$183,I237,IF(Settings!$D$15=$O$184,K237,IF(Settings!$D$15=$O$185,L237,IF(Settings!$D$15=$O$188,M237,IF(Settings!$D$15=$O$187,N237,IF(Settings!$D$15=$O$186,O237,E237))))))</f>
        <v>H2 pumping &amp; distribution</v>
      </c>
      <c r="E237" s="114" t="s">
        <v>2257</v>
      </c>
      <c r="F237" s="120"/>
      <c r="G237" s="121"/>
      <c r="H237" s="129"/>
      <c r="I237" s="111" t="s">
        <v>462</v>
      </c>
      <c r="J237" s="123"/>
      <c r="K237" s="112" t="s">
        <v>557</v>
      </c>
      <c r="L237" s="112" t="s">
        <v>651</v>
      </c>
      <c r="M237" s="112" t="s">
        <v>797</v>
      </c>
      <c r="N237" s="112" t="s">
        <v>798</v>
      </c>
      <c r="O237" s="112" t="s">
        <v>799</v>
      </c>
    </row>
    <row r="238" spans="3:15" outlineLevel="1">
      <c r="C238" s="74" t="str">
        <f>IF(Settings!$D$15=$O$183,I238,IF(Settings!$D$15=$O$184,K238,IF(Settings!$D$15=$O$185,L238,IF(Settings!$D$15=$O$188,M238,IF(Settings!$D$15=$O$187,N238,IF(Settings!$D$15=$O$186,O238,E238))))))</f>
        <v>Fibre-optic telecom</v>
      </c>
      <c r="E238" s="114" t="s">
        <v>3</v>
      </c>
      <c r="F238" s="120"/>
      <c r="G238" s="121"/>
      <c r="H238" s="129"/>
      <c r="I238" s="111" t="s">
        <v>464</v>
      </c>
      <c r="J238" s="123"/>
      <c r="K238" s="112" t="s">
        <v>559</v>
      </c>
      <c r="L238" s="112" t="s">
        <v>653</v>
      </c>
      <c r="M238" s="112" t="s">
        <v>803</v>
      </c>
      <c r="N238" s="112" t="s">
        <v>804</v>
      </c>
      <c r="O238" s="112" t="s">
        <v>805</v>
      </c>
    </row>
    <row r="239" spans="3:15" ht="31" customHeight="1" outlineLevel="1">
      <c r="C239" s="75" t="str">
        <f>IF(Settings!$D$15=$O$183,I239,IF(Settings!$D$15=$O$184,K239,IF(Settings!$D$15=$O$185,L239,IF(Settings!$D$15=$O$188,M239,IF(Settings!$D$15=$O$187,N239,IF(Settings!$D$15=$O$186,O239,E239))))))</f>
        <v>Public and private transport</v>
      </c>
      <c r="E239" s="107" t="s">
        <v>45</v>
      </c>
      <c r="F239" s="118"/>
      <c r="G239" s="119"/>
      <c r="H239" s="118"/>
      <c r="I239" s="107" t="s">
        <v>135</v>
      </c>
      <c r="J239" s="122"/>
      <c r="K239" s="107" t="s">
        <v>142</v>
      </c>
      <c r="L239" s="107" t="s">
        <v>208</v>
      </c>
      <c r="M239" s="108" t="s">
        <v>271</v>
      </c>
      <c r="N239" s="108" t="s">
        <v>305</v>
      </c>
      <c r="O239" s="109" t="s">
        <v>369</v>
      </c>
    </row>
    <row r="240" spans="3:15" outlineLevel="1">
      <c r="C240" s="74" t="str">
        <f>IF(Settings!$D$15=$O$183,I240,IF(Settings!$D$15=$O$184,K240,IF(Settings!$D$15=$O$185,L240,IF(Settings!$D$15=$O$188,M240,IF(Settings!$D$15=$O$187,N240,IF(Settings!$D$15=$O$186,O240,E240))))))</f>
        <v>Civilian airport</v>
      </c>
      <c r="E240" s="114" t="s">
        <v>1440</v>
      </c>
      <c r="F240" s="120"/>
      <c r="G240" s="121"/>
      <c r="H240" s="129"/>
      <c r="I240" s="111" t="s">
        <v>1836</v>
      </c>
      <c r="J240" s="123"/>
      <c r="K240" s="112" t="s">
        <v>1838</v>
      </c>
      <c r="L240" s="112" t="s">
        <v>1840</v>
      </c>
      <c r="M240" s="112" t="s">
        <v>1842</v>
      </c>
      <c r="N240" s="112" t="s">
        <v>1844</v>
      </c>
      <c r="O240" s="112" t="s">
        <v>1846</v>
      </c>
    </row>
    <row r="241" spans="3:15" outlineLevel="1">
      <c r="C241" s="74" t="str">
        <f>IF(Settings!$D$15=$O$183,I241,IF(Settings!$D$15=$O$184,K241,IF(Settings!$D$15=$O$185,L241,IF(Settings!$D$15=$O$188,M241,IF(Settings!$D$15=$O$187,N241,IF(Settings!$D$15=$O$186,O241,E241))))))</f>
        <v>Military airport</v>
      </c>
      <c r="E241" s="114" t="s">
        <v>1439</v>
      </c>
      <c r="F241" s="120"/>
      <c r="G241" s="121"/>
      <c r="H241" s="129"/>
      <c r="I241" s="111" t="s">
        <v>1837</v>
      </c>
      <c r="J241" s="123"/>
      <c r="K241" s="112" t="s">
        <v>1839</v>
      </c>
      <c r="L241" s="112" t="s">
        <v>1841</v>
      </c>
      <c r="M241" s="112" t="s">
        <v>1843</v>
      </c>
      <c r="N241" s="112" t="s">
        <v>1845</v>
      </c>
      <c r="O241" s="112" t="s">
        <v>1847</v>
      </c>
    </row>
    <row r="242" spans="3:15" ht="33" customHeight="1" outlineLevel="1">
      <c r="C242" s="74" t="str">
        <f>IF(Settings!$D$15=$O$183,I242,IF(Settings!$D$15=$O$184,K242,IF(Settings!$D$15=$O$185,L242,IF(Settings!$D$15=$O$188,M242,IF(Settings!$D$15=$O$187,N242,IF(Settings!$D$15=$O$186,O242,E242))))))</f>
        <v>Train signalling system</v>
      </c>
      <c r="E242" s="114" t="s">
        <v>1465</v>
      </c>
      <c r="F242" s="120"/>
      <c r="G242" s="121"/>
      <c r="H242" s="129"/>
      <c r="I242" s="115" t="s">
        <v>465</v>
      </c>
      <c r="J242" s="123"/>
      <c r="K242" s="116" t="s">
        <v>560</v>
      </c>
      <c r="L242" s="116" t="s">
        <v>654</v>
      </c>
      <c r="M242" s="116" t="s">
        <v>806</v>
      </c>
      <c r="N242" s="116" t="s">
        <v>807</v>
      </c>
      <c r="O242" s="116" t="s">
        <v>808</v>
      </c>
    </row>
    <row r="243" spans="3:15" ht="36" customHeight="1" outlineLevel="1">
      <c r="C243" s="74" t="str">
        <f>IF(Settings!$D$15=$O$183,I243,IF(Settings!$D$15=$O$184,K243,IF(Settings!$D$15=$O$185,L243,IF(Settings!$D$15=$O$188,M243,IF(Settings!$D$15=$O$187,N243,IF(Settings!$D$15=$O$186,O243,E243))))))</f>
        <v>Road signalling system</v>
      </c>
      <c r="E243" s="114" t="s">
        <v>1466</v>
      </c>
      <c r="F243" s="120"/>
      <c r="G243" s="121"/>
      <c r="H243" s="129"/>
      <c r="I243" s="115" t="s">
        <v>466</v>
      </c>
      <c r="J243" s="123"/>
      <c r="K243" s="116" t="s">
        <v>561</v>
      </c>
      <c r="L243" s="116" t="s">
        <v>655</v>
      </c>
      <c r="M243" s="116" t="s">
        <v>809</v>
      </c>
      <c r="N243" s="116" t="s">
        <v>810</v>
      </c>
      <c r="O243" s="116" t="s">
        <v>811</v>
      </c>
    </row>
    <row r="244" spans="3:15" outlineLevel="1">
      <c r="C244" s="74" t="str">
        <f>IF(Settings!$D$15=$O$183,I244,IF(Settings!$D$15=$O$184,K244,IF(Settings!$D$15=$O$185,L244,IF(Settings!$D$15=$O$188,M244,IF(Settings!$D$15=$O$187,N244,IF(Settings!$D$15=$O$186,O244,E244))))))</f>
        <v>Underground train</v>
      </c>
      <c r="E244" s="114" t="s">
        <v>15</v>
      </c>
      <c r="F244" s="120"/>
      <c r="G244" s="121"/>
      <c r="H244" s="129"/>
      <c r="I244" s="111" t="s">
        <v>467</v>
      </c>
      <c r="J244" s="123"/>
      <c r="K244" s="112" t="s">
        <v>562</v>
      </c>
      <c r="L244" s="112" t="s">
        <v>656</v>
      </c>
      <c r="M244" s="112" t="s">
        <v>812</v>
      </c>
      <c r="N244" s="112" t="s">
        <v>813</v>
      </c>
      <c r="O244" s="112" t="s">
        <v>814</v>
      </c>
    </row>
    <row r="245" spans="3:15" outlineLevel="1">
      <c r="C245" s="74" t="str">
        <f>IF(Settings!$D$15=$O$183,I245,IF(Settings!$D$15=$O$184,K245,IF(Settings!$D$15=$O$185,L245,IF(Settings!$D$15=$O$188,M245,IF(Settings!$D$15=$O$187,N245,IF(Settings!$D$15=$O$186,O245,E245))))))</f>
        <v>Inter-urban train station</v>
      </c>
      <c r="E245" s="114" t="s">
        <v>19</v>
      </c>
      <c r="F245" s="120"/>
      <c r="G245" s="121"/>
      <c r="H245" s="129"/>
      <c r="I245" s="111" t="s">
        <v>468</v>
      </c>
      <c r="J245" s="123"/>
      <c r="K245" s="112" t="s">
        <v>563</v>
      </c>
      <c r="L245" s="112" t="s">
        <v>657</v>
      </c>
      <c r="M245" s="112" t="s">
        <v>815</v>
      </c>
      <c r="N245" s="112" t="s">
        <v>816</v>
      </c>
      <c r="O245" s="112" t="s">
        <v>817</v>
      </c>
    </row>
    <row r="246" spans="3:15" outlineLevel="1">
      <c r="C246" s="74" t="str">
        <f>IF(Settings!$D$15=$O$183,I246,IF(Settings!$D$15=$O$184,K246,IF(Settings!$D$15=$O$185,L246,IF(Settings!$D$15=$O$188,M246,IF(Settings!$D$15=$O$187,N246,IF(Settings!$D$15=$O$186,O246,E246))))))</f>
        <v>Local light rail station</v>
      </c>
      <c r="E246" s="114" t="s">
        <v>18</v>
      </c>
      <c r="F246" s="120"/>
      <c r="G246" s="121"/>
      <c r="H246" s="129"/>
      <c r="I246" s="111" t="s">
        <v>469</v>
      </c>
      <c r="J246" s="123"/>
      <c r="K246" s="112" t="s">
        <v>564</v>
      </c>
      <c r="L246" s="112" t="s">
        <v>658</v>
      </c>
      <c r="M246" s="112" t="s">
        <v>818</v>
      </c>
      <c r="N246" s="112" t="s">
        <v>819</v>
      </c>
      <c r="O246" s="112" t="s">
        <v>820</v>
      </c>
    </row>
    <row r="247" spans="3:15" outlineLevel="1">
      <c r="C247" s="74" t="str">
        <f>IF(Settings!$D$15=$O$183,I247,IF(Settings!$D$15=$O$184,K247,IF(Settings!$D$15=$O$185,L247,IF(Settings!$D$15=$O$188,M247,IF(Settings!$D$15=$O$187,N247,IF(Settings!$D$15=$O$186,O247,E247))))))</f>
        <v>Highway</v>
      </c>
      <c r="E247" s="114" t="s">
        <v>4</v>
      </c>
      <c r="F247" s="120"/>
      <c r="G247" s="121"/>
      <c r="H247" s="129"/>
      <c r="I247" s="111" t="s">
        <v>470</v>
      </c>
      <c r="J247" s="123"/>
      <c r="K247" s="112" t="s">
        <v>565</v>
      </c>
      <c r="L247" s="112" t="s">
        <v>659</v>
      </c>
      <c r="M247" s="112" t="s">
        <v>821</v>
      </c>
      <c r="N247" s="112" t="s">
        <v>822</v>
      </c>
      <c r="O247" s="112" t="s">
        <v>823</v>
      </c>
    </row>
    <row r="248" spans="3:15" outlineLevel="1">
      <c r="C248" s="74" t="str">
        <f>IF(Settings!$D$15=$O$183,I248,IF(Settings!$D$15=$O$184,K248,IF(Settings!$D$15=$O$185,L248,IF(Settings!$D$15=$O$188,M248,IF(Settings!$D$15=$O$187,N248,IF(Settings!$D$15=$O$186,O248,E248))))))</f>
        <v>Arterial road</v>
      </c>
      <c r="E248" s="114" t="s">
        <v>5</v>
      </c>
      <c r="F248" s="120"/>
      <c r="G248" s="121"/>
      <c r="H248" s="129"/>
      <c r="I248" s="111" t="s">
        <v>471</v>
      </c>
      <c r="J248" s="123"/>
      <c r="K248" s="112" t="s">
        <v>566</v>
      </c>
      <c r="L248" s="112" t="s">
        <v>660</v>
      </c>
      <c r="M248" s="112" t="s">
        <v>824</v>
      </c>
      <c r="N248" s="112" t="s">
        <v>825</v>
      </c>
      <c r="O248" s="112" t="s">
        <v>826</v>
      </c>
    </row>
    <row r="249" spans="3:15" outlineLevel="1">
      <c r="C249" s="74" t="str">
        <f>IF(Settings!$D$15=$O$183,I249,IF(Settings!$D$15=$O$184,K249,IF(Settings!$D$15=$O$185,L249,IF(Settings!$D$15=$O$188,M249,IF(Settings!$D$15=$O$187,N249,IF(Settings!$D$15=$O$186,O249,E249))))))</f>
        <v>Collector road</v>
      </c>
      <c r="E249" s="114" t="s">
        <v>6</v>
      </c>
      <c r="F249" s="120"/>
      <c r="G249" s="121"/>
      <c r="H249" s="129"/>
      <c r="I249" s="111" t="s">
        <v>472</v>
      </c>
      <c r="J249" s="123"/>
      <c r="K249" s="112" t="s">
        <v>567</v>
      </c>
      <c r="L249" s="112" t="s">
        <v>661</v>
      </c>
      <c r="M249" s="112" t="s">
        <v>827</v>
      </c>
      <c r="N249" s="112" t="s">
        <v>828</v>
      </c>
      <c r="O249" s="112" t="s">
        <v>829</v>
      </c>
    </row>
    <row r="250" spans="3:15" outlineLevel="1">
      <c r="C250" s="74" t="str">
        <f>IF(Settings!$D$15=$O$183,I250,IF(Settings!$D$15=$O$184,K250,IF(Settings!$D$15=$O$185,L250,IF(Settings!$D$15=$O$188,M250,IF(Settings!$D$15=$O$187,N250,IF(Settings!$D$15=$O$186,O250,E250))))))</f>
        <v>Lane or local road</v>
      </c>
      <c r="E250" s="114" t="s">
        <v>7</v>
      </c>
      <c r="F250" s="120"/>
      <c r="G250" s="121"/>
      <c r="H250" s="129"/>
      <c r="I250" s="111" t="s">
        <v>473</v>
      </c>
      <c r="J250" s="123"/>
      <c r="K250" s="112" t="s">
        <v>568</v>
      </c>
      <c r="L250" s="112" t="s">
        <v>662</v>
      </c>
      <c r="M250" s="112" t="s">
        <v>830</v>
      </c>
      <c r="N250" s="112" t="s">
        <v>831</v>
      </c>
      <c r="O250" s="112" t="s">
        <v>832</v>
      </c>
    </row>
    <row r="251" spans="3:15" outlineLevel="1">
      <c r="C251" s="74" t="str">
        <f>IF(Settings!$D$15=$O$183,I251,IF(Settings!$D$15=$O$184,K251,IF(Settings!$D$15=$O$185,L251,IF(Settings!$D$15=$O$188,M251,IF(Settings!$D$15=$O$187,N251,IF(Settings!$D$15=$O$186,O251,E251))))))</f>
        <v>Exterior parking area</v>
      </c>
      <c r="E251" s="114" t="s">
        <v>10</v>
      </c>
      <c r="F251" s="120"/>
      <c r="G251" s="121"/>
      <c r="H251" s="129"/>
      <c r="I251" s="111" t="s">
        <v>474</v>
      </c>
      <c r="J251" s="123"/>
      <c r="K251" s="112" t="s">
        <v>569</v>
      </c>
      <c r="L251" s="112" t="s">
        <v>663</v>
      </c>
      <c r="M251" s="112" t="s">
        <v>833</v>
      </c>
      <c r="N251" s="112" t="s">
        <v>834</v>
      </c>
      <c r="O251" s="112" t="s">
        <v>835</v>
      </c>
    </row>
    <row r="252" spans="3:15" outlineLevel="1">
      <c r="C252" s="74" t="str">
        <f>IF(Settings!$D$15=$O$183,I252,IF(Settings!$D$15=$O$184,K252,IF(Settings!$D$15=$O$185,L252,IF(Settings!$D$15=$O$188,M252,IF(Settings!$D$15=$O$187,N252,IF(Settings!$D$15=$O$186,O252,E252))))))</f>
        <v>Bicycle stations</v>
      </c>
      <c r="E252" s="114" t="s">
        <v>16</v>
      </c>
      <c r="F252" s="120"/>
      <c r="G252" s="121"/>
      <c r="H252" s="129"/>
      <c r="I252" s="111" t="s">
        <v>475</v>
      </c>
      <c r="J252" s="123"/>
      <c r="K252" s="112" t="s">
        <v>570</v>
      </c>
      <c r="L252" s="112" t="s">
        <v>664</v>
      </c>
      <c r="M252" s="112" t="s">
        <v>836</v>
      </c>
      <c r="N252" s="112" t="s">
        <v>837</v>
      </c>
      <c r="O252" s="112" t="s">
        <v>838</v>
      </c>
    </row>
    <row r="253" spans="3:15" outlineLevel="1">
      <c r="C253" s="74" t="str">
        <f>IF(Settings!$D$15=$O$183,I253,IF(Settings!$D$15=$O$184,K253,IF(Settings!$D$15=$O$185,L253,IF(Settings!$D$15=$O$188,M253,IF(Settings!$D$15=$O$187,N253,IF(Settings!$D$15=$O$186,O253,E253))))))</f>
        <v>Footpaths</v>
      </c>
      <c r="E253" s="114" t="s">
        <v>17</v>
      </c>
      <c r="F253" s="120"/>
      <c r="G253" s="121"/>
      <c r="H253" s="129"/>
      <c r="I253" s="111" t="s">
        <v>476</v>
      </c>
      <c r="J253" s="123"/>
      <c r="K253" s="112" t="s">
        <v>571</v>
      </c>
      <c r="L253" s="112" t="s">
        <v>665</v>
      </c>
      <c r="M253" s="112" t="s">
        <v>839</v>
      </c>
      <c r="N253" s="112" t="s">
        <v>840</v>
      </c>
      <c r="O253" s="112" t="s">
        <v>841</v>
      </c>
    </row>
    <row r="254" spans="3:15" outlineLevel="1">
      <c r="C254" s="74" t="str">
        <f>IF(Settings!$D$15=$O$183,I254,IF(Settings!$D$15=$O$184,K254,IF(Settings!$D$15=$O$185,L254,IF(Settings!$D$15=$O$188,M254,IF(Settings!$D$15=$O$187,N254,IF(Settings!$D$15=$O$186,O254,E254))))))</f>
        <v>Canal</v>
      </c>
      <c r="E254" s="114" t="s">
        <v>8</v>
      </c>
      <c r="F254" s="120"/>
      <c r="G254" s="121"/>
      <c r="H254" s="129"/>
      <c r="I254" s="111" t="s">
        <v>477</v>
      </c>
      <c r="J254" s="123"/>
      <c r="K254" s="112" t="s">
        <v>572</v>
      </c>
      <c r="L254" s="112" t="s">
        <v>8</v>
      </c>
      <c r="M254" s="112" t="s">
        <v>842</v>
      </c>
      <c r="N254" s="112" t="s">
        <v>8</v>
      </c>
      <c r="O254" s="112" t="s">
        <v>842</v>
      </c>
    </row>
    <row r="255" spans="3:15" ht="16" customHeight="1" outlineLevel="1">
      <c r="C255" s="73" t="str">
        <f>IF(Settings!$D$15=$O$183,I255,IF(Settings!$D$15=$O$184,K255,IF(Settings!$D$15=$O$185,L255,IF(Settings!$D$15=$O$188,M255,IF(Settings!$D$15=$O$187,N255,IF(Settings!$D$15=$O$186,O255,E255))))))</f>
        <v>Houses and housing</v>
      </c>
      <c r="E255" s="107" t="s">
        <v>1532</v>
      </c>
      <c r="F255" s="118"/>
      <c r="G255" s="119"/>
      <c r="H255" s="118"/>
      <c r="I255" s="107" t="s">
        <v>136</v>
      </c>
      <c r="J255" s="122"/>
      <c r="K255" s="107" t="s">
        <v>143</v>
      </c>
      <c r="L255" s="107" t="s">
        <v>209</v>
      </c>
      <c r="M255" s="108" t="s">
        <v>272</v>
      </c>
      <c r="N255" s="108" t="s">
        <v>306</v>
      </c>
      <c r="O255" s="109" t="s">
        <v>370</v>
      </c>
    </row>
    <row r="256" spans="3:15" outlineLevel="1">
      <c r="C256" s="74" t="str">
        <f>IF(Settings!$D$15=$O$183,I256,IF(Settings!$D$15=$O$184,K256,IF(Settings!$D$15=$O$185,L256,IF(Settings!$D$15=$O$188,M256,IF(Settings!$D$15=$O$187,N256,IF(Settings!$D$15=$O$186,O256,E256))))))</f>
        <v>Single detached houses</v>
      </c>
      <c r="E256" s="110" t="s">
        <v>74</v>
      </c>
      <c r="F256" s="120"/>
      <c r="G256" s="121"/>
      <c r="H256" s="129"/>
      <c r="I256" s="111" t="s">
        <v>478</v>
      </c>
      <c r="J256" s="123"/>
      <c r="K256" s="112" t="s">
        <v>573</v>
      </c>
      <c r="L256" s="112" t="s">
        <v>666</v>
      </c>
      <c r="M256" s="112" t="s">
        <v>843</v>
      </c>
      <c r="N256" s="112" t="s">
        <v>844</v>
      </c>
      <c r="O256" s="112" t="s">
        <v>845</v>
      </c>
    </row>
    <row r="257" spans="3:15" outlineLevel="1">
      <c r="C257" s="74" t="str">
        <f>IF(Settings!$D$15=$O$183,I257,IF(Settings!$D$15=$O$184,K257,IF(Settings!$D$15=$O$185,L257,IF(Settings!$D$15=$O$188,M257,IF(Settings!$D$15=$O$187,N257,IF(Settings!$D$15=$O$186,O257,E257))))))</f>
        <v>Attached housing units</v>
      </c>
      <c r="E257" s="110" t="s">
        <v>1151</v>
      </c>
      <c r="F257" s="120"/>
      <c r="G257" s="121"/>
      <c r="H257" s="129"/>
      <c r="I257" s="111" t="s">
        <v>1152</v>
      </c>
      <c r="J257" s="123"/>
      <c r="K257" s="111" t="s">
        <v>1156</v>
      </c>
      <c r="L257" s="112" t="s">
        <v>1160</v>
      </c>
      <c r="M257" s="111" t="s">
        <v>1164</v>
      </c>
      <c r="N257" s="112" t="s">
        <v>1168</v>
      </c>
      <c r="O257" s="112" t="s">
        <v>1172</v>
      </c>
    </row>
    <row r="258" spans="3:15" ht="30" outlineLevel="1">
      <c r="C258" s="74" t="str">
        <f>IF(Settings!$D$15=$O$183,I258,IF(Settings!$D$15=$O$184,K258,IF(Settings!$D$15=$O$185,L258,IF(Settings!$D$15=$O$188,M258,IF(Settings!$D$15=$O$187,N258,IF(Settings!$D$15=$O$186,O258,E258))))))</f>
        <v>MURB building =&lt; 3 floors</v>
      </c>
      <c r="E258" s="110" t="s">
        <v>1467</v>
      </c>
      <c r="F258" s="120"/>
      <c r="G258" s="121"/>
      <c r="H258" s="129"/>
      <c r="I258" s="115" t="s">
        <v>1153</v>
      </c>
      <c r="J258" s="131"/>
      <c r="K258" s="115" t="s">
        <v>1157</v>
      </c>
      <c r="L258" s="116" t="s">
        <v>1161</v>
      </c>
      <c r="M258" s="115" t="s">
        <v>1165</v>
      </c>
      <c r="N258" s="116" t="s">
        <v>1169</v>
      </c>
      <c r="O258" s="116" t="s">
        <v>1173</v>
      </c>
    </row>
    <row r="259" spans="3:15" ht="34" customHeight="1" outlineLevel="1">
      <c r="C259" s="74" t="str">
        <f>IF(Settings!$D$15=$O$183,I259,IF(Settings!$D$15=$O$184,K259,IF(Settings!$D$15=$O$185,L259,IF(Settings!$D$15=$O$188,M259,IF(Settings!$D$15=$O$187,N259,IF(Settings!$D$15=$O$186,O259,E259))))))</f>
        <v>MURB building 4+ floors</v>
      </c>
      <c r="E259" s="110" t="s">
        <v>1468</v>
      </c>
      <c r="F259" s="120"/>
      <c r="G259" s="121"/>
      <c r="H259" s="129"/>
      <c r="I259" s="115" t="s">
        <v>1154</v>
      </c>
      <c r="J259" s="131"/>
      <c r="K259" s="115" t="s">
        <v>1158</v>
      </c>
      <c r="L259" s="116" t="s">
        <v>1162</v>
      </c>
      <c r="M259" s="115" t="s">
        <v>1166</v>
      </c>
      <c r="N259" s="116" t="s">
        <v>1170</v>
      </c>
      <c r="O259" s="116" t="s">
        <v>1174</v>
      </c>
    </row>
    <row r="260" spans="3:15" outlineLevel="1">
      <c r="C260" s="74" t="str">
        <f>IF(Settings!$D$15=$O$183,I260,IF(Settings!$D$15=$O$184,K260,IF(Settings!$D$15=$O$185,L260,IF(Settings!$D$15=$O$188,M260,IF(Settings!$D$15=$O$187,N260,IF(Settings!$D$15=$O$186,O260,E260))))))</f>
        <v>Other residential buildings</v>
      </c>
      <c r="E260" s="110" t="s">
        <v>1549</v>
      </c>
      <c r="F260" s="120"/>
      <c r="G260" s="121"/>
      <c r="H260" s="129"/>
      <c r="I260" s="111" t="s">
        <v>1288</v>
      </c>
      <c r="J260" s="123"/>
      <c r="K260" s="111" t="s">
        <v>1289</v>
      </c>
      <c r="L260" s="117" t="s">
        <v>1290</v>
      </c>
      <c r="M260" s="111" t="s">
        <v>1291</v>
      </c>
      <c r="N260" s="112" t="s">
        <v>1292</v>
      </c>
      <c r="O260" s="111" t="s">
        <v>1293</v>
      </c>
    </row>
    <row r="261" spans="3:15" outlineLevel="1">
      <c r="C261" s="74" t="str">
        <f>IF(Settings!$D$15=$O$183,I261,IF(Settings!$D$15=$O$184,K261,IF(Settings!$D$15=$O$185,L261,IF(Settings!$D$15=$O$188,M261,IF(Settings!$D$15=$O$187,N261,IF(Settings!$D$15=$O$186,O261,E261))))))</f>
        <v>Student housing</v>
      </c>
      <c r="E261" s="110" t="s">
        <v>1516</v>
      </c>
      <c r="F261" s="120"/>
      <c r="G261" s="121"/>
      <c r="H261" s="129"/>
      <c r="I261" s="111" t="s">
        <v>1155</v>
      </c>
      <c r="J261" s="123"/>
      <c r="K261" s="111" t="s">
        <v>1159</v>
      </c>
      <c r="L261" s="112" t="s">
        <v>1163</v>
      </c>
      <c r="M261" s="111" t="s">
        <v>1167</v>
      </c>
      <c r="N261" s="112" t="s">
        <v>1171</v>
      </c>
      <c r="O261" s="112" t="s">
        <v>1175</v>
      </c>
    </row>
    <row r="262" spans="3:15" outlineLevel="1">
      <c r="C262" s="74" t="str">
        <f>IF(Settings!$D$15=$O$183,I262,IF(Settings!$D$15=$O$184,K262,IF(Settings!$D$15=$O$185,L262,IF(Settings!$D$15=$O$188,M262,IF(Settings!$D$15=$O$187,N262,IF(Settings!$D$15=$O$186,O262,E262))))))</f>
        <v>Full bathrooms</v>
      </c>
      <c r="E262" s="110" t="s">
        <v>1082</v>
      </c>
      <c r="F262" s="120"/>
      <c r="G262" s="121"/>
      <c r="H262" s="129"/>
      <c r="I262" s="111" t="s">
        <v>1085</v>
      </c>
      <c r="J262" s="123"/>
      <c r="K262" s="111" t="s">
        <v>1088</v>
      </c>
      <c r="L262" s="117" t="s">
        <v>1091</v>
      </c>
      <c r="M262" s="111" t="s">
        <v>1094</v>
      </c>
      <c r="N262" s="112" t="s">
        <v>1097</v>
      </c>
      <c r="O262" s="111" t="s">
        <v>1100</v>
      </c>
    </row>
    <row r="263" spans="3:15" outlineLevel="1">
      <c r="C263" s="74" t="str">
        <f>IF(Settings!$D$15=$O$183,I263,IF(Settings!$D$15=$O$184,K263,IF(Settings!$D$15=$O$185,L263,IF(Settings!$D$15=$O$188,M263,IF(Settings!$D$15=$O$187,N263,IF(Settings!$D$15=$O$186,O263,E263))))))</f>
        <v>Small washrooms</v>
      </c>
      <c r="E263" s="110" t="s">
        <v>1083</v>
      </c>
      <c r="F263" s="120"/>
      <c r="G263" s="121"/>
      <c r="H263" s="129"/>
      <c r="I263" s="111" t="s">
        <v>1086</v>
      </c>
      <c r="J263" s="123"/>
      <c r="K263" s="111" t="s">
        <v>1089</v>
      </c>
      <c r="L263" s="117" t="s">
        <v>1092</v>
      </c>
      <c r="M263" s="111" t="s">
        <v>1095</v>
      </c>
      <c r="N263" s="112" t="s">
        <v>1098</v>
      </c>
      <c r="O263" s="111" t="s">
        <v>1101</v>
      </c>
    </row>
    <row r="264" spans="3:15" outlineLevel="1">
      <c r="C264" s="74" t="str">
        <f>IF(Settings!$D$15=$O$183,I264,IF(Settings!$D$15=$O$184,K264,IF(Settings!$D$15=$O$185,L264,IF(Settings!$D$15=$O$188,M264,IF(Settings!$D$15=$O$187,N264,IF(Settings!$D$15=$O$186,O264,E264))))))</f>
        <v>Residential kitchens</v>
      </c>
      <c r="E264" s="110" t="s">
        <v>1144</v>
      </c>
      <c r="F264" s="120"/>
      <c r="G264" s="121"/>
      <c r="H264" s="129"/>
      <c r="I264" s="111" t="s">
        <v>1150</v>
      </c>
      <c r="J264" s="123"/>
      <c r="K264" s="111" t="s">
        <v>1149</v>
      </c>
      <c r="L264" s="117" t="s">
        <v>1148</v>
      </c>
      <c r="M264" s="111" t="s">
        <v>1147</v>
      </c>
      <c r="N264" s="112" t="s">
        <v>1146</v>
      </c>
      <c r="O264" s="111" t="s">
        <v>1145</v>
      </c>
    </row>
    <row r="265" spans="3:15" outlineLevel="1">
      <c r="C265" s="74" t="str">
        <f>IF(Settings!$D$15=$O$183,I265,IF(Settings!$D$15=$O$184,K265,IF(Settings!$D$15=$O$185,L265,IF(Settings!$D$15=$O$188,M265,IF(Settings!$D$15=$O$187,N265,IF(Settings!$D$15=$O$186,O265,E265))))))</f>
        <v>Private gardens</v>
      </c>
      <c r="E265" s="110" t="s">
        <v>1084</v>
      </c>
      <c r="F265" s="120"/>
      <c r="G265" s="121"/>
      <c r="H265" s="129"/>
      <c r="I265" s="111" t="s">
        <v>1087</v>
      </c>
      <c r="J265" s="123"/>
      <c r="K265" s="111" t="s">
        <v>1090</v>
      </c>
      <c r="L265" s="117" t="s">
        <v>1093</v>
      </c>
      <c r="M265" s="111" t="s">
        <v>1096</v>
      </c>
      <c r="N265" s="112" t="s">
        <v>1099</v>
      </c>
      <c r="O265" s="111" t="s">
        <v>1102</v>
      </c>
    </row>
    <row r="266" spans="3:15" ht="16" customHeight="1" outlineLevel="1">
      <c r="C266" s="73" t="str">
        <f>IF(Settings!$D$15=$O$186,C166,IF(Settings!$D$15=$O$187,C142,IF(Settings!$D$15=$O$188,C118,IF(Settings!$D$15=$O$185,C94,IF(Settings!$D$15=$O$184,C70,IF(Settings!$D$15=$O$183,C46,C21))))))</f>
        <v>Public buildings</v>
      </c>
      <c r="E266" s="107" t="s">
        <v>1518</v>
      </c>
      <c r="F266" s="118"/>
      <c r="G266" s="119"/>
      <c r="H266" s="118"/>
      <c r="I266" s="107" t="s">
        <v>1571</v>
      </c>
      <c r="J266" s="122"/>
      <c r="K266" s="107" t="s">
        <v>1572</v>
      </c>
      <c r="L266" s="107" t="s">
        <v>1573</v>
      </c>
      <c r="M266" s="108" t="s">
        <v>1574</v>
      </c>
      <c r="N266" s="108" t="s">
        <v>1575</v>
      </c>
      <c r="O266" s="109" t="s">
        <v>1570</v>
      </c>
    </row>
    <row r="267" spans="3:15" outlineLevel="1">
      <c r="C267" s="76" t="str">
        <f>IF(Settings!$D$15=$O$183,I267,IF(Settings!$D$15=$O$184,K267,IF(Settings!$D$15=$O$185,L267,IF(Settings!$D$15=$O$188,M267,IF(Settings!$D$15=$O$187,N267,IF(Settings!$D$15=$O$186,O267,E267))))))</f>
        <v>Public building</v>
      </c>
      <c r="E267" s="110" t="s">
        <v>1518</v>
      </c>
      <c r="F267" s="120"/>
      <c r="G267" s="121"/>
      <c r="H267" s="129"/>
      <c r="I267" s="111" t="s">
        <v>480</v>
      </c>
      <c r="J267" s="123"/>
      <c r="K267" s="112" t="s">
        <v>575</v>
      </c>
      <c r="L267" s="112" t="s">
        <v>668</v>
      </c>
      <c r="M267" s="112" t="s">
        <v>849</v>
      </c>
      <c r="N267" s="112" t="s">
        <v>850</v>
      </c>
      <c r="O267" s="112" t="s">
        <v>851</v>
      </c>
    </row>
    <row r="268" spans="3:15" outlineLevel="1">
      <c r="C268" s="76" t="str">
        <f>IF(Settings!$D$15=$O$183,I268,IF(Settings!$D$15=$O$184,K268,IF(Settings!$D$15=$O$185,L268,IF(Settings!$D$15=$O$188,M268,IF(Settings!$D$15=$O$187,N268,IF(Settings!$D$15=$O$186,O268,E268))))))</f>
        <v>Official residence</v>
      </c>
      <c r="E268" s="110" t="s">
        <v>1520</v>
      </c>
      <c r="F268" s="120"/>
      <c r="G268" s="121"/>
      <c r="H268" s="129"/>
      <c r="I268" s="111" t="s">
        <v>1576</v>
      </c>
      <c r="J268" s="123"/>
      <c r="K268" s="112" t="s">
        <v>1577</v>
      </c>
      <c r="L268" s="112" t="s">
        <v>1578</v>
      </c>
      <c r="M268" s="112" t="s">
        <v>1579</v>
      </c>
      <c r="N268" s="112" t="s">
        <v>1580</v>
      </c>
      <c r="O268" s="112" t="s">
        <v>1581</v>
      </c>
    </row>
    <row r="269" spans="3:15" outlineLevel="1">
      <c r="C269" s="76" t="str">
        <f>IF(Settings!$D$15=$O$183,I269,IF(Settings!$D$15=$O$184,K269,IF(Settings!$D$15=$O$185,L269,IF(Settings!$D$15=$O$188,M269,IF(Settings!$D$15=$O$187,N269,IF(Settings!$D$15=$O$186,O269,E269))))))</f>
        <v>Court house</v>
      </c>
      <c r="E269" s="110" t="s">
        <v>1519</v>
      </c>
      <c r="F269" s="120"/>
      <c r="G269" s="121"/>
      <c r="H269" s="129"/>
      <c r="I269" s="115" t="s">
        <v>1849</v>
      </c>
      <c r="J269" s="123"/>
      <c r="K269" s="112" t="s">
        <v>1851</v>
      </c>
      <c r="L269" s="112" t="s">
        <v>1854</v>
      </c>
      <c r="M269" s="112" t="s">
        <v>1857</v>
      </c>
      <c r="N269" s="112" t="s">
        <v>1860</v>
      </c>
      <c r="O269" s="112" t="s">
        <v>1863</v>
      </c>
    </row>
    <row r="270" spans="3:15" outlineLevel="1">
      <c r="C270" s="76" t="str">
        <f>IF(Settings!$D$15=$O$183,I270,IF(Settings!$D$15=$O$184,K271,IF(Settings!$D$15=$O$185,L270,IF(Settings!$D$15=$O$188,M270,IF(Settings!$D$15=$O$187,N270,IF(Settings!$D$15=$O$186,O270,E270))))))</f>
        <v>National Library</v>
      </c>
      <c r="E270" s="110" t="s">
        <v>1521</v>
      </c>
      <c r="F270" s="120"/>
      <c r="G270" s="121"/>
      <c r="H270" s="129"/>
      <c r="I270" s="111" t="s">
        <v>1850</v>
      </c>
      <c r="J270" s="123"/>
      <c r="K270" s="112" t="s">
        <v>1852</v>
      </c>
      <c r="L270" s="112" t="s">
        <v>1855</v>
      </c>
      <c r="M270" s="112" t="s">
        <v>1858</v>
      </c>
      <c r="N270" s="112" t="s">
        <v>1861</v>
      </c>
      <c r="O270" s="112" t="s">
        <v>1864</v>
      </c>
    </row>
    <row r="271" spans="3:15" outlineLevel="1">
      <c r="C271" s="76" t="str">
        <f>IF(Settings!$D$15=$O$183,I271,IF(Settings!$D$15=$O$184,#REF!,IF(Settings!$D$15=$O$185,L271,IF(Settings!$D$15=$O$188,M271,IF(Settings!$D$15=$O$187,N271,IF(Settings!$D$15=$O$186,O271,E271))))))</f>
        <v>Local Library</v>
      </c>
      <c r="E271" s="110" t="s">
        <v>1522</v>
      </c>
      <c r="F271" s="120"/>
      <c r="G271" s="121"/>
      <c r="H271" s="129"/>
      <c r="I271" s="111" t="s">
        <v>1848</v>
      </c>
      <c r="J271" s="123"/>
      <c r="K271" s="112" t="s">
        <v>1853</v>
      </c>
      <c r="L271" s="112" t="s">
        <v>1856</v>
      </c>
      <c r="M271" s="112" t="s">
        <v>1859</v>
      </c>
      <c r="N271" s="112" t="s">
        <v>1862</v>
      </c>
      <c r="O271" s="112" t="s">
        <v>1865</v>
      </c>
    </row>
    <row r="272" spans="3:15" outlineLevel="1">
      <c r="C272" s="76" t="str">
        <f>IF(Settings!$D$15=$O$183,I272,IF(Settings!$D$15=$O$184,K272,IF(Settings!$D$15=$O$185,L272,IF(Settings!$D$15=$O$188,M272,IF(Settings!$D$15=$O$187,N272,IF(Settings!$D$15=$O$186,O272,E272))))))</f>
        <v>Buildings of historical value</v>
      </c>
      <c r="E272" s="110" t="s">
        <v>1274</v>
      </c>
      <c r="F272" s="120"/>
      <c r="G272" s="121"/>
      <c r="H272" s="129"/>
      <c r="I272" s="111" t="s">
        <v>1275</v>
      </c>
      <c r="J272" s="123"/>
      <c r="K272" s="112" t="s">
        <v>1276</v>
      </c>
      <c r="L272" s="112" t="s">
        <v>1277</v>
      </c>
      <c r="M272" s="112" t="s">
        <v>1278</v>
      </c>
      <c r="N272" s="112" t="s">
        <v>1279</v>
      </c>
      <c r="O272" s="112" t="s">
        <v>1280</v>
      </c>
    </row>
    <row r="273" spans="3:15" outlineLevel="1">
      <c r="C273" s="76" t="str">
        <f>IF(Settings!$D$15=$O$183,I273,IF(Settings!$D$15=$O$184,K273,IF(Settings!$D$15=$O$185,L273,IF(Settings!$D$15=$O$188,M273,IF(Settings!$D$15=$O$187,N273,IF(Settings!$D$15=$O$186,O273,E273))))))</f>
        <v>Buildings for culture or arts</v>
      </c>
      <c r="E273" s="110" t="s">
        <v>1294</v>
      </c>
      <c r="F273" s="120"/>
      <c r="G273" s="121"/>
      <c r="H273" s="129"/>
      <c r="I273" s="111" t="s">
        <v>1295</v>
      </c>
      <c r="J273" s="123"/>
      <c r="K273" s="112" t="s">
        <v>1296</v>
      </c>
      <c r="L273" s="112" t="s">
        <v>1297</v>
      </c>
      <c r="M273" s="112" t="s">
        <v>1298</v>
      </c>
      <c r="N273" s="112" t="s">
        <v>1299</v>
      </c>
      <c r="O273" s="112" t="s">
        <v>1300</v>
      </c>
    </row>
    <row r="274" spans="3:15" outlineLevel="1">
      <c r="C274" s="162" t="str">
        <f>IF(Settings!$D$15=$O$183,I274,IF(Settings!$D$15=$O$184,K274,IF(Settings!$D$15=$O$185,L274,IF(Settings!$D$15=$O$188,M274,IF(Settings!$D$15=$O$187,N274,IF(Settings!$D$15=$O$186,O274,E274))))))</f>
        <v>Health Facilities</v>
      </c>
      <c r="E274" s="240" t="s">
        <v>1524</v>
      </c>
      <c r="F274" s="241"/>
      <c r="G274" s="119"/>
      <c r="H274" s="118"/>
      <c r="I274" s="242" t="s">
        <v>1866</v>
      </c>
      <c r="J274" s="122"/>
      <c r="K274" s="242" t="s">
        <v>1867</v>
      </c>
      <c r="L274" s="244" t="s">
        <v>1868</v>
      </c>
      <c r="M274" s="242" t="s">
        <v>1869</v>
      </c>
      <c r="N274" s="244" t="s">
        <v>1870</v>
      </c>
      <c r="O274" s="244" t="s">
        <v>1871</v>
      </c>
    </row>
    <row r="275" spans="3:15" outlineLevel="1">
      <c r="C275" s="74" t="str">
        <f>IF(Settings!$D$15=$O$183,I275,IF(Settings!$D$15=$O$184,K275,IF(Settings!$D$15=$O$185,L275,IF(Settings!$D$15=$O$188,M275,IF(Settings!$D$15=$O$187,N275,IF(Settings!$D$15=$O$186,O275,E275))))))</f>
        <v>Long-term care homes (LTC)</v>
      </c>
      <c r="E275" s="110" t="s">
        <v>1533</v>
      </c>
      <c r="F275" s="120"/>
      <c r="G275" s="121"/>
      <c r="H275" s="129"/>
      <c r="I275" s="111" t="s">
        <v>479</v>
      </c>
      <c r="J275" s="123"/>
      <c r="K275" s="112" t="s">
        <v>574</v>
      </c>
      <c r="L275" s="112" t="s">
        <v>667</v>
      </c>
      <c r="M275" s="112" t="s">
        <v>846</v>
      </c>
      <c r="N275" s="112" t="s">
        <v>847</v>
      </c>
      <c r="O275" s="112" t="s">
        <v>848</v>
      </c>
    </row>
    <row r="276" spans="3:15" outlineLevel="1">
      <c r="C276" s="74" t="str">
        <f>IF(Settings!$D$15=$O$183,I276,IF(Settings!$D$15=$O$184,K276,IF(Settings!$D$15=$O$185,L276,IF(Settings!$D$15=$O$188,M276,IF(Settings!$D$15=$O$187,N276,IF(Settings!$D$15=$O$186,O276,E276))))))</f>
        <v>Nursing homes</v>
      </c>
      <c r="E276" s="110" t="s">
        <v>1281</v>
      </c>
      <c r="F276" s="120"/>
      <c r="G276" s="121"/>
      <c r="H276" s="129"/>
      <c r="I276" s="111" t="s">
        <v>1287</v>
      </c>
      <c r="J276" s="123"/>
      <c r="K276" s="111" t="s">
        <v>1286</v>
      </c>
      <c r="L276" s="117" t="s">
        <v>1285</v>
      </c>
      <c r="M276" s="111" t="s">
        <v>1284</v>
      </c>
      <c r="N276" s="112" t="s">
        <v>1283</v>
      </c>
      <c r="O276" s="111" t="s">
        <v>1282</v>
      </c>
    </row>
    <row r="277" spans="3:15" outlineLevel="1">
      <c r="C277" s="74" t="str">
        <f>IF(Settings!$D$15=$O$183,I277,IF(Settings!$D$15=$O$184,K277,IF(Settings!$D$15=$O$185,L277,IF(Settings!$D$15=$O$188,M277,IF(Settings!$D$15=$O$187,N277,IF(Settings!$D$15=$O$186,O277,E277))))))</f>
        <v>Local health facility</v>
      </c>
      <c r="E277" s="110" t="s">
        <v>61</v>
      </c>
      <c r="F277" s="120"/>
      <c r="G277" s="121"/>
      <c r="H277" s="129"/>
      <c r="I277" s="111" t="s">
        <v>481</v>
      </c>
      <c r="J277" s="123"/>
      <c r="K277" s="112" t="s">
        <v>576</v>
      </c>
      <c r="L277" s="112" t="s">
        <v>669</v>
      </c>
      <c r="M277" s="112" t="s">
        <v>852</v>
      </c>
      <c r="N277" s="112" t="s">
        <v>853</v>
      </c>
      <c r="O277" s="112" t="s">
        <v>854</v>
      </c>
    </row>
    <row r="278" spans="3:15" outlineLevel="1">
      <c r="C278" s="74" t="str">
        <f>IF(Settings!$D$15=$O$183,I278,IF(Settings!$D$15=$O$184,K278,IF(Settings!$D$15=$O$185,L278,IF(Settings!$D$15=$O$188,M278,IF(Settings!$D$15=$O$187,N278,IF(Settings!$D$15=$O$186,O278,E278))))))</f>
        <v>Local hospital</v>
      </c>
      <c r="E278" s="110" t="s">
        <v>62</v>
      </c>
      <c r="F278" s="120"/>
      <c r="G278" s="121"/>
      <c r="H278" s="129"/>
      <c r="I278" s="111" t="s">
        <v>482</v>
      </c>
      <c r="J278" s="123"/>
      <c r="K278" s="112" t="s">
        <v>577</v>
      </c>
      <c r="L278" s="112" t="s">
        <v>670</v>
      </c>
      <c r="M278" s="112" t="s">
        <v>855</v>
      </c>
      <c r="N278" s="112" t="s">
        <v>856</v>
      </c>
      <c r="O278" s="112" t="s">
        <v>857</v>
      </c>
    </row>
    <row r="279" spans="3:15" outlineLevel="1">
      <c r="C279" s="74" t="str">
        <f>IF(Settings!$D$15=$O$183,I279,IF(Settings!$D$15=$O$184,K279,IF(Settings!$D$15=$O$185,L279,IF(Settings!$D$15=$O$188,M279,IF(Settings!$D$15=$O$187,N279,IF(Settings!$D$15=$O$186,O279,E279))))))</f>
        <v>Large / specialised hospital</v>
      </c>
      <c r="E279" s="110" t="s">
        <v>75</v>
      </c>
      <c r="F279" s="120"/>
      <c r="G279" s="121"/>
      <c r="H279" s="129"/>
      <c r="I279" s="111" t="s">
        <v>483</v>
      </c>
      <c r="J279" s="123"/>
      <c r="K279" s="112" t="s">
        <v>578</v>
      </c>
      <c r="L279" s="112" t="s">
        <v>671</v>
      </c>
      <c r="M279" s="112" t="s">
        <v>858</v>
      </c>
      <c r="N279" s="112" t="s">
        <v>859</v>
      </c>
      <c r="O279" s="112" t="s">
        <v>860</v>
      </c>
    </row>
    <row r="280" spans="3:15" outlineLevel="1">
      <c r="C280" s="74" t="str">
        <f>IF(Settings!$D$15=$O$183,I280,IF(Settings!$D$15=$O$184,K280,IF(Settings!$D$15=$O$185,L280,IF(Settings!$D$15=$O$188,M280,IF(Settings!$D$15=$O$187,N280,IF(Settings!$D$15=$O$186,O280,E280))))))</f>
        <v>Other health facility</v>
      </c>
      <c r="E280" s="110" t="s">
        <v>1534</v>
      </c>
      <c r="F280" s="120"/>
      <c r="G280" s="121"/>
      <c r="H280" s="129"/>
      <c r="I280" s="111" t="s">
        <v>1866</v>
      </c>
      <c r="J280" s="123"/>
      <c r="K280" s="112" t="s">
        <v>1867</v>
      </c>
      <c r="L280" s="112" t="s">
        <v>1868</v>
      </c>
      <c r="M280" s="112" t="s">
        <v>1869</v>
      </c>
      <c r="N280" s="112" t="s">
        <v>1870</v>
      </c>
      <c r="O280" s="112" t="s">
        <v>1871</v>
      </c>
    </row>
    <row r="281" spans="3:15" ht="19" outlineLevel="1">
      <c r="C281" s="294" t="str">
        <f>IF(Settings!$D$15=$O$183,I281,IF(Settings!$D$15=$O$184,K281,IF(Settings!$D$15=$O$185,L281,IF(Settings!$D$15=$O$188,M281,IF(Settings!$D$15=$O$187,N281,IF(Settings!$D$15=$O$186,O281,E281))))))</f>
        <v>Education Facilities</v>
      </c>
      <c r="E281" s="240" t="s">
        <v>1873</v>
      </c>
      <c r="F281" s="241"/>
      <c r="G281" s="119"/>
      <c r="H281" s="118"/>
      <c r="I281" s="242" t="s">
        <v>1872</v>
      </c>
      <c r="J281" s="122"/>
      <c r="K281" s="244" t="s">
        <v>1874</v>
      </c>
      <c r="L281" s="244" t="s">
        <v>1875</v>
      </c>
      <c r="M281" s="244" t="s">
        <v>1876</v>
      </c>
      <c r="N281" s="244" t="s">
        <v>1877</v>
      </c>
      <c r="O281" s="244" t="s">
        <v>1878</v>
      </c>
    </row>
    <row r="282" spans="3:15" outlineLevel="1">
      <c r="C282" s="74" t="str">
        <f>IF(Settings!$D$15=$O$183,I282,IF(Settings!$D$15=$O$184,K282,IF(Settings!$D$15=$O$185,L282,IF(Settings!$D$15=$O$188,M282,IF(Settings!$D$15=$O$187,N282,IF(Settings!$D$15=$O$186,O282,E282))))))</f>
        <v>Daycare facility</v>
      </c>
      <c r="E282" s="110" t="s">
        <v>434</v>
      </c>
      <c r="F282" s="120"/>
      <c r="G282" s="121"/>
      <c r="H282" s="129"/>
      <c r="I282" s="111" t="s">
        <v>484</v>
      </c>
      <c r="J282" s="123"/>
      <c r="K282" s="112" t="s">
        <v>579</v>
      </c>
      <c r="L282" s="112" t="s">
        <v>672</v>
      </c>
      <c r="M282" s="112" t="s">
        <v>861</v>
      </c>
      <c r="N282" s="112" t="s">
        <v>862</v>
      </c>
      <c r="O282" s="112" t="s">
        <v>863</v>
      </c>
    </row>
    <row r="283" spans="3:15" outlineLevel="1">
      <c r="C283" s="74" t="str">
        <f>IF(Settings!$D$15=$O$183,I283,IF(Settings!$D$15=$O$184,K283,IF(Settings!$D$15=$O$185,L283,IF(Settings!$D$15=$O$188,M283,IF(Settings!$D$15=$O$187,N283,IF(Settings!$D$15=$O$186,O283,E283))))))</f>
        <v>Kindergarten</v>
      </c>
      <c r="E283" s="110" t="s">
        <v>2207</v>
      </c>
      <c r="F283" s="120"/>
      <c r="G283" s="121"/>
      <c r="H283" s="129"/>
      <c r="I283" s="111"/>
      <c r="J283" s="123"/>
      <c r="K283" s="112"/>
      <c r="L283" s="112"/>
      <c r="M283" s="112"/>
      <c r="N283" s="112"/>
      <c r="O283" s="112"/>
    </row>
    <row r="284" spans="3:15" outlineLevel="1">
      <c r="C284" s="74" t="str">
        <f>IF(Settings!$D$15=$O$183,I284,IF(Settings!$D$15=$O$184,K284,IF(Settings!$D$15=$O$185,L284,IF(Settings!$D$15=$O$188,M284,IF(Settings!$D$15=$O$187,N284,IF(Settings!$D$15=$O$186,O284,E284))))))</f>
        <v>Primary school</v>
      </c>
      <c r="E284" s="110" t="s">
        <v>63</v>
      </c>
      <c r="F284" s="120"/>
      <c r="G284" s="121"/>
      <c r="H284" s="129"/>
      <c r="I284" s="111" t="s">
        <v>485</v>
      </c>
      <c r="J284" s="123"/>
      <c r="K284" s="112" t="s">
        <v>580</v>
      </c>
      <c r="L284" s="112" t="s">
        <v>673</v>
      </c>
      <c r="M284" s="112" t="s">
        <v>864</v>
      </c>
      <c r="N284" s="112" t="s">
        <v>865</v>
      </c>
      <c r="O284" s="112" t="s">
        <v>866</v>
      </c>
    </row>
    <row r="285" spans="3:15" outlineLevel="1">
      <c r="C285" s="74" t="str">
        <f>IF(Settings!$D$15=$O$183,I285,IF(Settings!$D$15=$O$184,K285,IF(Settings!$D$15=$O$185,L285,IF(Settings!$D$15=$O$188,M285,IF(Settings!$D$15=$O$187,N285,IF(Settings!$D$15=$O$186,O285,E285))))))</f>
        <v>High school</v>
      </c>
      <c r="E285" s="110" t="s">
        <v>64</v>
      </c>
      <c r="F285" s="120"/>
      <c r="G285" s="121"/>
      <c r="H285" s="129"/>
      <c r="I285" s="111" t="s">
        <v>486</v>
      </c>
      <c r="J285" s="123"/>
      <c r="K285" s="112" t="s">
        <v>581</v>
      </c>
      <c r="L285" s="112" t="s">
        <v>674</v>
      </c>
      <c r="M285" s="112" t="s">
        <v>867</v>
      </c>
      <c r="N285" s="112" t="s">
        <v>868</v>
      </c>
      <c r="O285" s="112" t="s">
        <v>869</v>
      </c>
    </row>
    <row r="286" spans="3:15" outlineLevel="1">
      <c r="C286" s="74" t="str">
        <f>IF(Settings!$D$15=$O$183,I286,IF(Settings!$D$15=$O$184,K286,IF(Settings!$D$15=$O$185,L286,IF(Settings!$D$15=$O$188,M286,IF(Settings!$D$15=$O$187,N286,IF(Settings!$D$15=$O$186,O286,E286))))))</f>
        <v>College or university</v>
      </c>
      <c r="E286" s="110" t="s">
        <v>65</v>
      </c>
      <c r="F286" s="120"/>
      <c r="G286" s="121"/>
      <c r="H286" s="129"/>
      <c r="I286" s="111" t="s">
        <v>487</v>
      </c>
      <c r="J286" s="123"/>
      <c r="K286" s="112" t="s">
        <v>582</v>
      </c>
      <c r="L286" s="112" t="s">
        <v>675</v>
      </c>
      <c r="M286" s="112" t="s">
        <v>870</v>
      </c>
      <c r="N286" s="112" t="s">
        <v>871</v>
      </c>
      <c r="O286" s="112" t="s">
        <v>872</v>
      </c>
    </row>
    <row r="287" spans="3:15" outlineLevel="1">
      <c r="C287" s="74" t="str">
        <f>IF(Settings!$D$15=$O$183,I287,IF(Settings!$D$15=$O$184,K287,IF(Settings!$D$15=$O$185,L287,IF(Settings!$D$15=$O$188,M287,IF(Settings!$D$15=$O$187,N287,IF(Settings!$D$15=$O$186,O287,E287))))))</f>
        <v>Training facility</v>
      </c>
      <c r="E287" s="110" t="s">
        <v>1523</v>
      </c>
      <c r="F287" s="120"/>
      <c r="G287" s="121"/>
      <c r="H287" s="129"/>
      <c r="I287" s="111" t="s">
        <v>1879</v>
      </c>
      <c r="J287" s="123"/>
      <c r="K287" s="112" t="s">
        <v>1880</v>
      </c>
      <c r="L287" s="112" t="s">
        <v>1881</v>
      </c>
      <c r="M287" s="112" t="s">
        <v>1882</v>
      </c>
      <c r="N287" s="112" t="s">
        <v>1883</v>
      </c>
      <c r="O287" s="112" t="s">
        <v>1884</v>
      </c>
    </row>
    <row r="288" spans="3:15" outlineLevel="1">
      <c r="C288" s="74" t="str">
        <f>IF(Settings!$D$15=$O$183,I288,IF(Settings!$D$15=$O$184,K288,IF(Settings!$D$15=$O$185,L288,IF(Settings!$D$15=$O$188,M288,IF(Settings!$D$15=$O$187,N288,IF(Settings!$D$15=$O$186,O288,E288))))))</f>
        <v>Other Education Facility</v>
      </c>
      <c r="E288" s="110" t="s">
        <v>1535</v>
      </c>
      <c r="F288" s="120"/>
      <c r="G288" s="121"/>
      <c r="H288" s="129"/>
      <c r="I288" s="111" t="s">
        <v>1885</v>
      </c>
      <c r="J288" s="123"/>
      <c r="K288" s="112" t="s">
        <v>1886</v>
      </c>
      <c r="L288" s="112" t="s">
        <v>1887</v>
      </c>
      <c r="M288" s="112" t="s">
        <v>1888</v>
      </c>
      <c r="N288" s="112" t="s">
        <v>1889</v>
      </c>
      <c r="O288" s="112" t="s">
        <v>1890</v>
      </c>
    </row>
    <row r="289" spans="3:15" outlineLevel="1">
      <c r="C289" s="162" t="str">
        <f>IF(Settings!$D$15=$O$183,I289,IF(Settings!$D$15=$O$184,K289,IF(Settings!$D$15=$O$185,L289,IF(Settings!$D$15=$O$188,M289,IF(Settings!$D$15=$O$187,N289,IF(Settings!$D$15=$O$186,O289,E289))))))</f>
        <v>Commercial facilities</v>
      </c>
      <c r="E289" s="240" t="s">
        <v>1515</v>
      </c>
      <c r="F289" s="241"/>
      <c r="G289" s="119"/>
      <c r="H289" s="118"/>
      <c r="I289" s="242" t="s">
        <v>1891</v>
      </c>
      <c r="J289" s="122"/>
      <c r="K289" s="242" t="s">
        <v>1892</v>
      </c>
      <c r="L289" s="243" t="s">
        <v>1893</v>
      </c>
      <c r="M289" s="242" t="s">
        <v>1894</v>
      </c>
      <c r="N289" s="244" t="s">
        <v>1895</v>
      </c>
      <c r="O289" s="242" t="s">
        <v>1896</v>
      </c>
    </row>
    <row r="290" spans="3:15" outlineLevel="1">
      <c r="C290" s="74" t="str">
        <f>IF(Settings!$D$15=$O$183,I290,IF(Settings!$D$15=$O$184,K290,IF(Settings!$D$15=$O$185,L290,IF(Settings!$D$15=$O$188,M290,IF(Settings!$D$15=$O$187,N290,IF(Settings!$D$15=$O$186,O290,E290))))))</f>
        <v>Office building =&lt; 3 floors</v>
      </c>
      <c r="E290" s="110" t="s">
        <v>66</v>
      </c>
      <c r="F290" s="120"/>
      <c r="G290" s="121"/>
      <c r="H290" s="129"/>
      <c r="I290" s="111" t="s">
        <v>488</v>
      </c>
      <c r="J290" s="123"/>
      <c r="K290" s="112" t="s">
        <v>583</v>
      </c>
      <c r="L290" s="112" t="s">
        <v>676</v>
      </c>
      <c r="M290" s="112" t="s">
        <v>873</v>
      </c>
      <c r="N290" s="112" t="s">
        <v>874</v>
      </c>
      <c r="O290" s="112" t="s">
        <v>875</v>
      </c>
    </row>
    <row r="291" spans="3:15" outlineLevel="1">
      <c r="C291" s="74" t="str">
        <f>IF(Settings!$D$15=$O$183,I291,IF(Settings!$D$15=$O$184,K291,IF(Settings!$D$15=$O$185,L291,IF(Settings!$D$15=$O$188,M291,IF(Settings!$D$15=$O$187,N291,IF(Settings!$D$15=$O$186,O291,E291))))))</f>
        <v>Office building 4-15 floors</v>
      </c>
      <c r="E291" s="110" t="s">
        <v>1529</v>
      </c>
      <c r="F291" s="120"/>
      <c r="G291" s="121"/>
      <c r="H291" s="129"/>
      <c r="I291" s="111" t="s">
        <v>489</v>
      </c>
      <c r="J291" s="123"/>
      <c r="K291" s="112" t="s">
        <v>584</v>
      </c>
      <c r="L291" s="112" t="s">
        <v>677</v>
      </c>
      <c r="M291" s="112" t="s">
        <v>876</v>
      </c>
      <c r="N291" s="112" t="s">
        <v>877</v>
      </c>
      <c r="O291" s="112" t="s">
        <v>878</v>
      </c>
    </row>
    <row r="292" spans="3:15" outlineLevel="1">
      <c r="C292" s="74" t="str">
        <f>IF(Settings!$D$15=$O$183,I292,IF(Settings!$D$15=$O$184,K292,IF(Settings!$D$15=$O$185,L292,IF(Settings!$D$15=$O$188,M292,IF(Settings!$D$15=$O$187,N292,IF(Settings!$D$15=$O$186,O292,E292))))))</f>
        <v>Office building 16+ floors</v>
      </c>
      <c r="E292" s="110" t="s">
        <v>1530</v>
      </c>
      <c r="F292" s="120"/>
      <c r="G292" s="121"/>
      <c r="H292" s="129"/>
      <c r="I292" s="111" t="s">
        <v>489</v>
      </c>
      <c r="J292" s="123"/>
      <c r="K292" s="112" t="s">
        <v>584</v>
      </c>
      <c r="L292" s="112" t="s">
        <v>677</v>
      </c>
      <c r="M292" s="112" t="s">
        <v>876</v>
      </c>
      <c r="N292" s="112" t="s">
        <v>877</v>
      </c>
      <c r="O292" s="112" t="s">
        <v>878</v>
      </c>
    </row>
    <row r="293" spans="3:15" outlineLevel="1">
      <c r="C293" s="74" t="str">
        <f>IF(Settings!$D$15=$O$183,I293,IF(Settings!$D$15=$O$184,K293,IF(Settings!$D$15=$O$185,L293,IF(Settings!$D$15=$O$188,M293,IF(Settings!$D$15=$O$187,N293,IF(Settings!$D$15=$O$186,O293,E293))))))</f>
        <v>Hotel</v>
      </c>
      <c r="E293" s="110" t="s">
        <v>67</v>
      </c>
      <c r="F293" s="120"/>
      <c r="G293" s="121"/>
      <c r="H293" s="129"/>
      <c r="I293" s="111" t="s">
        <v>490</v>
      </c>
      <c r="J293" s="123"/>
      <c r="K293" s="112" t="s">
        <v>67</v>
      </c>
      <c r="L293" s="112" t="s">
        <v>678</v>
      </c>
      <c r="M293" s="112" t="s">
        <v>879</v>
      </c>
      <c r="N293" s="112" t="s">
        <v>67</v>
      </c>
      <c r="O293" s="112" t="s">
        <v>67</v>
      </c>
    </row>
    <row r="294" spans="3:15" outlineLevel="1">
      <c r="C294" s="74" t="str">
        <f>IF(Settings!$D$15=$O$183,I294,IF(Settings!$D$15=$O$184,K294,IF(Settings!$D$15=$O$185,L294,IF(Settings!$D$15=$O$188,M294,IF(Settings!$D$15=$O$187,N294,IF(Settings!$D$15=$O$186,O294,E294))))))</f>
        <v>Regional shopping centre</v>
      </c>
      <c r="E294" s="110" t="s">
        <v>1510</v>
      </c>
      <c r="F294" s="120"/>
      <c r="G294" s="121"/>
      <c r="H294" s="129"/>
      <c r="I294" s="111" t="s">
        <v>1897</v>
      </c>
      <c r="J294" s="123"/>
      <c r="K294" s="112" t="s">
        <v>1898</v>
      </c>
      <c r="L294" s="112" t="s">
        <v>1899</v>
      </c>
      <c r="M294" s="112" t="s">
        <v>1900</v>
      </c>
      <c r="N294" s="112" t="s">
        <v>1901</v>
      </c>
      <c r="O294" s="112" t="s">
        <v>1902</v>
      </c>
    </row>
    <row r="295" spans="3:15" outlineLevel="1">
      <c r="C295" s="74" t="str">
        <f>IF(Settings!$D$15=$O$183,I295,IF(Settings!$D$15=$O$184,K295,IF(Settings!$D$15=$O$185,L295,IF(Settings!$D$15=$O$188,M295,IF(Settings!$D$15=$O$187,N295,IF(Settings!$D$15=$O$186,O295,E295))))))</f>
        <v>Local shopping centre</v>
      </c>
      <c r="E295" s="110" t="s">
        <v>1509</v>
      </c>
      <c r="F295" s="120"/>
      <c r="G295" s="121"/>
      <c r="H295" s="129"/>
      <c r="I295" s="111" t="s">
        <v>491</v>
      </c>
      <c r="J295" s="123"/>
      <c r="K295" s="112" t="s">
        <v>585</v>
      </c>
      <c r="L295" s="112" t="s">
        <v>679</v>
      </c>
      <c r="M295" s="112" t="s">
        <v>880</v>
      </c>
      <c r="N295" s="112" t="s">
        <v>881</v>
      </c>
      <c r="O295" s="112" t="s">
        <v>882</v>
      </c>
    </row>
    <row r="296" spans="3:15" outlineLevel="1">
      <c r="C296" s="74" t="str">
        <f>IF(Settings!$D$15=$O$183,I296,IF(Settings!$D$15=$O$184,K296,IF(Settings!$D$15=$O$185,L296,IF(Settings!$D$15=$O$188,M296,IF(Settings!$D$15=$O$187,N296,IF(Settings!$D$15=$O$186,O296,E296))))))</f>
        <v>Convenience shop</v>
      </c>
      <c r="E296" s="110" t="s">
        <v>2256</v>
      </c>
      <c r="F296" s="120"/>
      <c r="G296" s="121"/>
      <c r="H296" s="129"/>
      <c r="I296" s="111" t="s">
        <v>492</v>
      </c>
      <c r="J296" s="123"/>
      <c r="K296" s="112" t="s">
        <v>586</v>
      </c>
      <c r="L296" s="112" t="s">
        <v>680</v>
      </c>
      <c r="M296" s="112" t="s">
        <v>883</v>
      </c>
      <c r="N296" s="112" t="s">
        <v>884</v>
      </c>
      <c r="O296" s="112" t="s">
        <v>885</v>
      </c>
    </row>
    <row r="297" spans="3:15" outlineLevel="1">
      <c r="C297" s="74" t="str">
        <f>IF(Settings!$D$15=$O$183,I297,IF(Settings!$D$15=$O$184,K297,IF(Settings!$D$15=$O$185,L297,IF(Settings!$D$15=$O$188,M297,IF(Settings!$D$15=$O$187,N297,IF(Settings!$D$15=$O$186,O297,E297))))))</f>
        <v>Retail goods shop</v>
      </c>
      <c r="E297" s="110" t="s">
        <v>435</v>
      </c>
      <c r="F297" s="120"/>
      <c r="G297" s="121"/>
      <c r="H297" s="129"/>
      <c r="I297" s="111" t="s">
        <v>493</v>
      </c>
      <c r="J297" s="123"/>
      <c r="K297" s="112" t="s">
        <v>587</v>
      </c>
      <c r="L297" s="112" t="s">
        <v>681</v>
      </c>
      <c r="M297" s="112" t="s">
        <v>886</v>
      </c>
      <c r="N297" s="112" t="s">
        <v>887</v>
      </c>
      <c r="O297" s="112" t="s">
        <v>888</v>
      </c>
    </row>
    <row r="298" spans="3:15" outlineLevel="1">
      <c r="C298" s="74" t="str">
        <f>IF(Settings!$D$15=$O$183,I298,IF(Settings!$D$15=$O$184,K298,IF(Settings!$D$15=$O$185,L298,IF(Settings!$D$15=$O$188,M298,IF(Settings!$D$15=$O$187,N298,IF(Settings!$D$15=$O$186,O298,E298))))))</f>
        <v>Restaurant / café</v>
      </c>
      <c r="E298" s="110" t="s">
        <v>68</v>
      </c>
      <c r="F298" s="120"/>
      <c r="G298" s="121"/>
      <c r="H298" s="129"/>
      <c r="I298" s="111" t="s">
        <v>494</v>
      </c>
      <c r="J298" s="123"/>
      <c r="K298" s="112" t="s">
        <v>588</v>
      </c>
      <c r="L298" s="112" t="s">
        <v>682</v>
      </c>
      <c r="M298" s="112" t="s">
        <v>889</v>
      </c>
      <c r="N298" s="112" t="s">
        <v>890</v>
      </c>
      <c r="O298" s="112" t="s">
        <v>891</v>
      </c>
    </row>
    <row r="299" spans="3:15" outlineLevel="1">
      <c r="C299" s="74" t="str">
        <f>IF(Settings!$D$15=$O$183,I299,IF(Settings!$D$15=$O$184,K299,IF(Settings!$D$15=$O$185,L299,IF(Settings!$D$15=$O$188,M299,IF(Settings!$D$15=$O$187,N299,IF(Settings!$D$15=$O$186,O299,E299))))))</f>
        <v>Cinemas</v>
      </c>
      <c r="E299" s="110" t="s">
        <v>1391</v>
      </c>
      <c r="F299" s="120"/>
      <c r="G299" s="121"/>
      <c r="H299" s="129"/>
      <c r="I299" s="115" t="s">
        <v>1394</v>
      </c>
      <c r="J299" s="123"/>
      <c r="K299" s="112" t="s">
        <v>1397</v>
      </c>
      <c r="L299" s="112" t="s">
        <v>1400</v>
      </c>
      <c r="M299" s="112" t="s">
        <v>1403</v>
      </c>
      <c r="N299" s="112" t="s">
        <v>1406</v>
      </c>
      <c r="O299" s="112" t="s">
        <v>1409</v>
      </c>
    </row>
    <row r="300" spans="3:15" outlineLevel="1">
      <c r="C300" s="74" t="str">
        <f>IF(Settings!$D$15=$O$183,I300,IF(Settings!$D$15=$O$184,K300,IF(Settings!$D$15=$O$185,L300,IF(Settings!$D$15=$O$188,M300,IF(Settings!$D$15=$O$187,N300,IF(Settings!$D$15=$O$186,O300,E300))))))</f>
        <v>Performing arts</v>
      </c>
      <c r="E300" s="110" t="s">
        <v>1392</v>
      </c>
      <c r="F300" s="120"/>
      <c r="G300" s="121"/>
      <c r="H300" s="129"/>
      <c r="I300" s="111" t="s">
        <v>1395</v>
      </c>
      <c r="J300" s="123"/>
      <c r="K300" s="112" t="s">
        <v>1398</v>
      </c>
      <c r="L300" s="112" t="s">
        <v>1401</v>
      </c>
      <c r="M300" s="112" t="s">
        <v>1404</v>
      </c>
      <c r="N300" s="112" t="s">
        <v>1407</v>
      </c>
      <c r="O300" s="112" t="s">
        <v>1410</v>
      </c>
    </row>
    <row r="301" spans="3:15" outlineLevel="1">
      <c r="C301" s="74" t="str">
        <f>IF(Settings!$D$15=$O$183,I301,IF(Settings!$D$15=$O$184,K301,IF(Settings!$D$15=$O$185,L301,IF(Settings!$D$15=$O$188,M301,IF(Settings!$D$15=$O$187,N301,IF(Settings!$D$15=$O$186,O301,E301))))))</f>
        <v>Convention Centre</v>
      </c>
      <c r="E301" s="110" t="s">
        <v>1393</v>
      </c>
      <c r="F301" s="120"/>
      <c r="G301" s="121"/>
      <c r="H301" s="129"/>
      <c r="I301" s="111" t="s">
        <v>1396</v>
      </c>
      <c r="J301" s="123"/>
      <c r="K301" s="112" t="s">
        <v>1399</v>
      </c>
      <c r="L301" s="112" t="s">
        <v>1402</v>
      </c>
      <c r="M301" s="112" t="s">
        <v>1405</v>
      </c>
      <c r="N301" s="112" t="s">
        <v>1408</v>
      </c>
      <c r="O301" s="112" t="s">
        <v>1411</v>
      </c>
    </row>
    <row r="302" spans="3:15" outlineLevel="1">
      <c r="C302" s="74" t="str">
        <f>IF(Settings!$D$15=$O$183,I302,IF(Settings!$D$15=$O$184,K302,IF(Settings!$D$15=$O$185,L302,IF(Settings!$D$15=$O$188,M302,IF(Settings!$D$15=$O$187,N302,IF(Settings!$D$15=$O$186,O302,E302))))))</f>
        <v>Other commercial facility</v>
      </c>
      <c r="E302" s="110" t="s">
        <v>1536</v>
      </c>
      <c r="F302" s="120"/>
      <c r="G302" s="121"/>
      <c r="H302" s="129"/>
      <c r="I302" s="111" t="s">
        <v>1904</v>
      </c>
      <c r="J302" s="123"/>
      <c r="K302" s="112" t="s">
        <v>1905</v>
      </c>
      <c r="L302" s="112" t="s">
        <v>1906</v>
      </c>
      <c r="M302" s="112" t="s">
        <v>1907</v>
      </c>
      <c r="N302" s="112" t="s">
        <v>1908</v>
      </c>
      <c r="O302" s="112" t="s">
        <v>1909</v>
      </c>
    </row>
    <row r="303" spans="3:15" ht="16" customHeight="1" outlineLevel="1">
      <c r="C303" s="73" t="str">
        <f>IF(Settings!$D$15=$O$186,C166,IF(Settings!$D$15=$O$187,C142,IF(Settings!$D$15=$O$188,C118,IF(Settings!$D$15=$O$185,C94,IF(Settings!$D$15=$O$184,C70,IF(Settings!$D$15=$O$183,C46,C21))))))&amp;" 2"</f>
        <v>Public buildings 2</v>
      </c>
      <c r="E303" s="107" t="s">
        <v>1903</v>
      </c>
      <c r="F303" s="118"/>
      <c r="G303" s="119"/>
      <c r="H303" s="118"/>
      <c r="I303" s="107" t="s">
        <v>1571</v>
      </c>
      <c r="J303" s="122"/>
      <c r="K303" s="107" t="s">
        <v>1572</v>
      </c>
      <c r="L303" s="107" t="s">
        <v>1573</v>
      </c>
      <c r="M303" s="108" t="s">
        <v>1574</v>
      </c>
      <c r="N303" s="108" t="s">
        <v>1575</v>
      </c>
      <c r="O303" s="109" t="s">
        <v>1570</v>
      </c>
    </row>
    <row r="304" spans="3:15" outlineLevel="1">
      <c r="C304" s="74" t="str">
        <f>IF(Settings!$D$15=$O$183,I304,IF(Settings!$D$15=$O$184,K304,IF(Settings!$D$15=$O$185,L304,IF(Settings!$D$15=$O$188,M304,IF(Settings!$D$15=$O$187,N304,IF(Settings!$D$15=$O$186,O304,E304))))))</f>
        <v>Multi-function sports facility</v>
      </c>
      <c r="E304" s="110" t="s">
        <v>1413</v>
      </c>
      <c r="F304" s="120"/>
      <c r="G304" s="121"/>
      <c r="H304" s="129"/>
      <c r="I304" s="111" t="s">
        <v>1415</v>
      </c>
      <c r="J304" s="123"/>
      <c r="K304" s="112" t="s">
        <v>1418</v>
      </c>
      <c r="L304" s="112" t="s">
        <v>1421</v>
      </c>
      <c r="M304" s="112" t="s">
        <v>1424</v>
      </c>
      <c r="N304" s="112" t="s">
        <v>1427</v>
      </c>
      <c r="O304" s="112" t="s">
        <v>1430</v>
      </c>
    </row>
    <row r="305" spans="2:15" outlineLevel="1">
      <c r="C305" s="74" t="str">
        <f>IF(Settings!$D$15=$O$183,I305,IF(Settings!$D$15=$O$184,K305,IF(Settings!$D$15=$O$185,L305,IF(Settings!$D$15=$O$188,M305,IF(Settings!$D$15=$O$187,N305,IF(Settings!$D$15=$O$186,O305,E305))))))</f>
        <v>Specialized sports facility</v>
      </c>
      <c r="E305" s="110" t="s">
        <v>1414</v>
      </c>
      <c r="F305" s="120"/>
      <c r="G305" s="121"/>
      <c r="H305" s="129"/>
      <c r="I305" s="115" t="s">
        <v>1416</v>
      </c>
      <c r="J305" s="123"/>
      <c r="K305" s="112" t="s">
        <v>1419</v>
      </c>
      <c r="L305" s="112" t="s">
        <v>1422</v>
      </c>
      <c r="M305" s="112" t="s">
        <v>1425</v>
      </c>
      <c r="N305" s="112" t="s">
        <v>1428</v>
      </c>
      <c r="O305" s="112" t="s">
        <v>1431</v>
      </c>
    </row>
    <row r="306" spans="2:15" outlineLevel="1">
      <c r="C306" s="74" t="str">
        <f>IF(Settings!$D$15=$O$183,I306,IF(Settings!$D$15=$O$184,K306,IF(Settings!$D$15=$O$185,L306,IF(Settings!$D$15=$O$188,M306,IF(Settings!$D$15=$O$187,N306,IF(Settings!$D$15=$O$186,O306,E306))))))</f>
        <v>Open sports field</v>
      </c>
      <c r="E306" s="114" t="s">
        <v>1412</v>
      </c>
      <c r="F306" s="120"/>
      <c r="G306" s="121"/>
      <c r="H306" s="129"/>
      <c r="I306" s="111" t="s">
        <v>1417</v>
      </c>
      <c r="J306" s="123"/>
      <c r="K306" s="112" t="s">
        <v>1420</v>
      </c>
      <c r="L306" s="112" t="s">
        <v>1423</v>
      </c>
      <c r="M306" s="112" t="s">
        <v>1426</v>
      </c>
      <c r="N306" s="112" t="s">
        <v>1429</v>
      </c>
      <c r="O306" s="112" t="s">
        <v>1432</v>
      </c>
    </row>
    <row r="307" spans="2:15" outlineLevel="1">
      <c r="C307" s="74" t="str">
        <f>IF(Settings!$D$15=$O$183,I307,IF(Settings!$D$15=$O$184,K307,IF(Settings!$D$15=$O$185,L307,IF(Settings!$D$15=$O$188,M307,IF(Settings!$D$15=$O$187,N307,IF(Settings!$D$15=$O$186,O307,E307))))))</f>
        <v>Cemeteries</v>
      </c>
      <c r="E307" s="110" t="s">
        <v>21</v>
      </c>
      <c r="F307" s="120"/>
      <c r="G307" s="121"/>
      <c r="H307" s="129"/>
      <c r="I307" s="111" t="s">
        <v>499</v>
      </c>
      <c r="J307" s="123"/>
      <c r="K307" s="112" t="s">
        <v>593</v>
      </c>
      <c r="L307" s="112" t="s">
        <v>687</v>
      </c>
      <c r="M307" s="112" t="s">
        <v>904</v>
      </c>
      <c r="N307" s="112" t="s">
        <v>905</v>
      </c>
      <c r="O307" s="112" t="s">
        <v>906</v>
      </c>
    </row>
    <row r="308" spans="2:15" outlineLevel="1">
      <c r="C308" s="74" t="str">
        <f>IF(Settings!$D$15=$O$183,I308,IF(Settings!$D$15=$O$184,K308,IF(Settings!$D$15=$O$185,L308,IF(Settings!$D$15=$O$188,M308,IF(Settings!$D$15=$O$187,N308,IF(Settings!$D$15=$O$186,O308,E308))))))</f>
        <v>Monuments</v>
      </c>
      <c r="E308" s="110" t="s">
        <v>23</v>
      </c>
      <c r="F308" s="120"/>
      <c r="G308" s="121"/>
      <c r="H308" s="129"/>
      <c r="I308" s="111" t="s">
        <v>500</v>
      </c>
      <c r="J308" s="123"/>
      <c r="K308" s="112" t="s">
        <v>594</v>
      </c>
      <c r="L308" s="112" t="s">
        <v>688</v>
      </c>
      <c r="M308" s="112" t="s">
        <v>907</v>
      </c>
      <c r="N308" s="112" t="s">
        <v>908</v>
      </c>
      <c r="O308" s="112" t="s">
        <v>909</v>
      </c>
    </row>
    <row r="309" spans="2:15" outlineLevel="1">
      <c r="C309" s="74" t="str">
        <f>IF(Settings!$D$15=$O$183,I309,IF(Settings!$D$15=$O$184,K309,IF(Settings!$D$15=$O$185,L309,IF(Settings!$D$15=$O$188,M309,IF(Settings!$D$15=$O$187,N309,IF(Settings!$D$15=$O$186,O309,E309))))))</f>
        <v>Bridges</v>
      </c>
      <c r="E309" s="110" t="s">
        <v>24</v>
      </c>
      <c r="F309" s="120"/>
      <c r="G309" s="121"/>
      <c r="H309" s="129"/>
      <c r="I309" s="111" t="s">
        <v>501</v>
      </c>
      <c r="J309" s="123"/>
      <c r="K309" s="112" t="s">
        <v>595</v>
      </c>
      <c r="L309" s="112" t="s">
        <v>689</v>
      </c>
      <c r="M309" s="112" t="s">
        <v>910</v>
      </c>
      <c r="N309" s="112" t="s">
        <v>911</v>
      </c>
      <c r="O309" s="112" t="s">
        <v>912</v>
      </c>
    </row>
    <row r="310" spans="2:15" outlineLevel="1">
      <c r="C310" s="74" t="str">
        <f>IF(Settings!$D$15=$O$183,I310,IF(Settings!$D$15=$O$184,K310,IF(Settings!$D$15=$O$185,L310,IF(Settings!$D$15=$O$188,M310,IF(Settings!$D$15=$O$187,N310,IF(Settings!$D$15=$O$186,O310,E310))))))</f>
        <v>Police/fire station</v>
      </c>
      <c r="E310" s="110" t="s">
        <v>1370</v>
      </c>
      <c r="F310" s="120"/>
      <c r="G310" s="121"/>
      <c r="H310" s="129"/>
      <c r="I310" s="111" t="s">
        <v>1371</v>
      </c>
      <c r="J310" s="123"/>
      <c r="K310" s="112" t="s">
        <v>1372</v>
      </c>
      <c r="L310" s="112" t="s">
        <v>1373</v>
      </c>
      <c r="M310" s="112" t="s">
        <v>1374</v>
      </c>
      <c r="N310" s="112" t="s">
        <v>1375</v>
      </c>
      <c r="O310" s="112" t="s">
        <v>1376</v>
      </c>
    </row>
    <row r="311" spans="2:15" outlineLevel="1">
      <c r="C311" s="74" t="str">
        <f>IF(Settings!$D$15=$O$183,I311,IF(Settings!$D$15=$O$184,K311,IF(Settings!$D$15=$O$185,L311,IF(Settings!$D$15=$O$188,M311,IF(Settings!$D$15=$O$187,N311,IF(Settings!$D$15=$O$186,O311,E311))))))</f>
        <v>Detention facilities</v>
      </c>
      <c r="E311" s="110" t="s">
        <v>1377</v>
      </c>
      <c r="F311" s="120"/>
      <c r="G311" s="121"/>
      <c r="H311" s="129"/>
      <c r="I311" s="111" t="s">
        <v>1383</v>
      </c>
      <c r="J311" s="123"/>
      <c r="K311" s="112" t="s">
        <v>1382</v>
      </c>
      <c r="L311" s="112" t="s">
        <v>1381</v>
      </c>
      <c r="M311" s="112" t="s">
        <v>1380</v>
      </c>
      <c r="N311" s="112" t="s">
        <v>1379</v>
      </c>
      <c r="O311" s="112" t="s">
        <v>1378</v>
      </c>
    </row>
    <row r="312" spans="2:15" outlineLevel="1">
      <c r="C312" s="74" t="str">
        <f>IF(Settings!$D$15=$O$183,I312,IF(Settings!$D$15=$O$184,K312,IF(Settings!$D$15=$O$185,L312,IF(Settings!$D$15=$O$188,M312,IF(Settings!$D$15=$O$187,N312,IF(Settings!$D$15=$O$186,O312,E312))))))</f>
        <v>Bus depot</v>
      </c>
      <c r="E312" s="110" t="s">
        <v>69</v>
      </c>
      <c r="F312" s="120"/>
      <c r="G312" s="121"/>
      <c r="H312" s="129"/>
      <c r="I312" s="111" t="s">
        <v>495</v>
      </c>
      <c r="J312" s="123"/>
      <c r="K312" s="112" t="s">
        <v>589</v>
      </c>
      <c r="L312" s="112" t="s">
        <v>683</v>
      </c>
      <c r="M312" s="112" t="s">
        <v>892</v>
      </c>
      <c r="N312" s="112" t="s">
        <v>893</v>
      </c>
      <c r="O312" s="112" t="s">
        <v>894</v>
      </c>
    </row>
    <row r="313" spans="2:15" outlineLevel="1">
      <c r="C313" s="74" t="str">
        <f>IF(Settings!$D$15=$O$183,I313,IF(Settings!$D$15=$O$184,K313,IF(Settings!$D$15=$O$185,L313,IF(Settings!$D$15=$O$188,M313,IF(Settings!$D$15=$O$187,N313,IF(Settings!$D$15=$O$186,O313,E313))))))</f>
        <v>Parking structures</v>
      </c>
      <c r="E313" s="110" t="s">
        <v>26</v>
      </c>
      <c r="F313" s="120"/>
      <c r="G313" s="121"/>
      <c r="H313" s="129"/>
      <c r="I313" s="111" t="s">
        <v>496</v>
      </c>
      <c r="J313" s="123"/>
      <c r="K313" s="112" t="s">
        <v>590</v>
      </c>
      <c r="L313" s="112" t="s">
        <v>684</v>
      </c>
      <c r="M313" s="112" t="s">
        <v>895</v>
      </c>
      <c r="N313" s="112" t="s">
        <v>896</v>
      </c>
      <c r="O313" s="112" t="s">
        <v>897</v>
      </c>
    </row>
    <row r="314" spans="2:15" s="4" customFormat="1" outlineLevel="1">
      <c r="B314"/>
      <c r="C314" s="74" t="str">
        <f>IF(Settings!$D$15=$O$183,I314,IF(Settings!$D$15=$O$184,K314,IF(Settings!$D$15=$O$185,L314,IF(Settings!$D$15=$O$188,M314,IF(Settings!$D$15=$O$187,N314,IF(Settings!$D$15=$O$186,O314,E314))))))</f>
        <v>Auto service stations</v>
      </c>
      <c r="D314" s="100"/>
      <c r="E314" s="114" t="s">
        <v>1384</v>
      </c>
      <c r="F314" s="120"/>
      <c r="G314" s="121"/>
      <c r="H314" s="130"/>
      <c r="I314" s="111" t="s">
        <v>1385</v>
      </c>
      <c r="J314" s="123"/>
      <c r="K314" s="112" t="s">
        <v>1386</v>
      </c>
      <c r="L314" s="112" t="s">
        <v>1387</v>
      </c>
      <c r="M314" s="112" t="s">
        <v>1388</v>
      </c>
      <c r="N314" s="112" t="s">
        <v>1389</v>
      </c>
      <c r="O314" s="112" t="s">
        <v>1390</v>
      </c>
    </row>
    <row r="315" spans="2:15" outlineLevel="1">
      <c r="C315" s="74" t="str">
        <f>IF(Settings!$D$15=$O$183,I315,IF(Settings!$D$15=$O$184,K315,IF(Settings!$D$15=$O$185,L315,IF(Settings!$D$15=$O$188,M315,IF(Settings!$D$15=$O$187,N315,IF(Settings!$D$15=$O$186,O315,E315))))))</f>
        <v xml:space="preserve">Self-storage facility </v>
      </c>
      <c r="E315" s="110" t="s">
        <v>1517</v>
      </c>
      <c r="F315" s="120"/>
      <c r="G315" s="121"/>
      <c r="H315" s="129"/>
      <c r="I315" s="111" t="s">
        <v>502</v>
      </c>
      <c r="J315" s="123"/>
      <c r="K315" s="112" t="s">
        <v>596</v>
      </c>
      <c r="L315" s="112" t="s">
        <v>690</v>
      </c>
      <c r="M315" s="112" t="s">
        <v>913</v>
      </c>
      <c r="N315" s="112" t="s">
        <v>914</v>
      </c>
      <c r="O315" s="112" t="s">
        <v>915</v>
      </c>
    </row>
    <row r="316" spans="2:15" outlineLevel="1">
      <c r="C316" s="74" t="str">
        <f>IF(Settings!$D$15=$O$183,I316,IF(Settings!$D$15=$O$184,K316,IF(Settings!$D$15=$O$185,L316,IF(Settings!$D$15=$O$188,M316,IF(Settings!$D$15=$O$187,N316,IF(Settings!$D$15=$O$186,O316,E316))))))</f>
        <v>Tanks for liquid storage</v>
      </c>
      <c r="E316" s="110" t="s">
        <v>25</v>
      </c>
      <c r="F316" s="120"/>
      <c r="G316" s="121"/>
      <c r="H316" s="129"/>
      <c r="I316" s="111" t="s">
        <v>503</v>
      </c>
      <c r="J316" s="123"/>
      <c r="K316" s="112" t="s">
        <v>597</v>
      </c>
      <c r="L316" s="112" t="s">
        <v>691</v>
      </c>
      <c r="M316" s="112" t="s">
        <v>916</v>
      </c>
      <c r="N316" s="112" t="s">
        <v>917</v>
      </c>
      <c r="O316" s="112" t="s">
        <v>918</v>
      </c>
    </row>
    <row r="317" spans="2:15" outlineLevel="1">
      <c r="C317" s="178" t="str">
        <f>IF(Settings!$D$15=$O$183,I317,IF(Settings!$D$15=$O$184,K317,IF(Settings!$D$15=$O$185,L317,IF(Settings!$D$15=$O$188,M317,IF(Settings!$D$15=$O$187,N317,IF(Settings!$D$15=$O$186,O317,E317))))))</f>
        <v>Industrial Facilities</v>
      </c>
      <c r="E317" s="110" t="s">
        <v>1538</v>
      </c>
      <c r="F317" s="120"/>
      <c r="G317" s="121"/>
      <c r="H317" s="129"/>
      <c r="I317" s="111" t="s">
        <v>1568</v>
      </c>
      <c r="J317" s="123"/>
      <c r="K317" s="112" t="s">
        <v>599</v>
      </c>
      <c r="L317" s="112" t="s">
        <v>693</v>
      </c>
      <c r="M317" s="112" t="s">
        <v>1569</v>
      </c>
      <c r="N317" s="112" t="s">
        <v>923</v>
      </c>
      <c r="O317" s="112" t="s">
        <v>924</v>
      </c>
    </row>
    <row r="318" spans="2:15" outlineLevel="1">
      <c r="C318" s="74" t="str">
        <f>IF(Settings!$D$15=$O$183,I318,IF(Settings!$D$15=$O$184,K318,IF(Settings!$D$15=$O$185,L318,IF(Settings!$D$15=$O$188,M318,IF(Settings!$D$15=$O$187,N318,IF(Settings!$D$15=$O$186,O318,E318))))))</f>
        <v>Warehouse facility</v>
      </c>
      <c r="E318" s="114" t="s">
        <v>70</v>
      </c>
      <c r="F318" s="120"/>
      <c r="G318" s="121"/>
      <c r="H318" s="129"/>
      <c r="I318" s="111" t="s">
        <v>504</v>
      </c>
      <c r="J318" s="123"/>
      <c r="K318" s="112" t="s">
        <v>598</v>
      </c>
      <c r="L318" s="112" t="s">
        <v>692</v>
      </c>
      <c r="M318" s="112" t="s">
        <v>919</v>
      </c>
      <c r="N318" s="112" t="s">
        <v>920</v>
      </c>
      <c r="O318" s="112" t="s">
        <v>921</v>
      </c>
    </row>
    <row r="319" spans="2:15" outlineLevel="1">
      <c r="C319" s="74" t="str">
        <f>IF(Settings!$D$15=$O$183,I319,IF(Settings!$D$15=$O$184,K319,IF(Settings!$D$15=$O$185,L319,IF(Settings!$D$15=$O$188,M319,IF(Settings!$D$15=$O$187,N319,IF(Settings!$D$15=$O$186,O319,E319))))))</f>
        <v>Distribution / fulfillment centre</v>
      </c>
      <c r="E319" s="114" t="s">
        <v>1910</v>
      </c>
      <c r="F319" s="120"/>
      <c r="G319" s="121"/>
      <c r="H319" s="129"/>
      <c r="I319" s="111" t="s">
        <v>1911</v>
      </c>
      <c r="J319" s="123"/>
      <c r="K319" s="112" t="s">
        <v>1912</v>
      </c>
      <c r="L319" s="112" t="s">
        <v>1913</v>
      </c>
      <c r="M319" s="112" t="s">
        <v>1914</v>
      </c>
      <c r="N319" s="112" t="s">
        <v>1915</v>
      </c>
      <c r="O319" s="112" t="s">
        <v>1916</v>
      </c>
    </row>
    <row r="320" spans="2:15" outlineLevel="1">
      <c r="C320" s="74" t="str">
        <f>IF(Settings!$D$15=$O$183,I320,IF(Settings!$D$15=$O$184,K320,IF(Settings!$D$15=$O$185,L320,IF(Settings!$D$15=$O$188,M320,IF(Settings!$D$15=$O$187,N320,IF(Settings!$D$15=$O$186,O320,E320))))))</f>
        <v>Clean manufacturing</v>
      </c>
      <c r="E320" s="114" t="s">
        <v>1511</v>
      </c>
      <c r="F320" s="120"/>
      <c r="G320" s="121"/>
      <c r="H320" s="129"/>
      <c r="I320" s="111" t="s">
        <v>505</v>
      </c>
      <c r="J320" s="123"/>
      <c r="K320" s="112" t="s">
        <v>599</v>
      </c>
      <c r="L320" s="112" t="s">
        <v>693</v>
      </c>
      <c r="M320" s="112" t="s">
        <v>922</v>
      </c>
      <c r="N320" s="112" t="s">
        <v>923</v>
      </c>
      <c r="O320" s="112" t="s">
        <v>924</v>
      </c>
    </row>
    <row r="321" spans="3:15" outlineLevel="1">
      <c r="C321" s="74" t="str">
        <f>IF(Settings!$D$15=$O$183,I321,IF(Settings!$D$15=$O$184,K321,IF(Settings!$D$15=$O$185,L321,IF(Settings!$D$15=$O$188,M321,IF(Settings!$D$15=$O$187,N321,IF(Settings!$D$15=$O$186,O321,E321))))))</f>
        <v>Light manufacturing</v>
      </c>
      <c r="E321" s="114" t="s">
        <v>71</v>
      </c>
      <c r="F321" s="120"/>
      <c r="G321" s="121"/>
      <c r="H321" s="129"/>
      <c r="I321" s="111" t="s">
        <v>506</v>
      </c>
      <c r="J321" s="123"/>
      <c r="K321" s="112" t="s">
        <v>600</v>
      </c>
      <c r="L321" s="112" t="s">
        <v>694</v>
      </c>
      <c r="M321" s="112" t="s">
        <v>925</v>
      </c>
      <c r="N321" s="112" t="s">
        <v>926</v>
      </c>
      <c r="O321" s="112" t="s">
        <v>927</v>
      </c>
    </row>
    <row r="322" spans="3:15" outlineLevel="1">
      <c r="C322" s="74" t="str">
        <f>IF(Settings!$D$15=$O$183,I322,IF(Settings!$D$15=$O$184,K322,IF(Settings!$D$15=$O$185,L322,IF(Settings!$D$15=$O$188,M322,IF(Settings!$D$15=$O$187,N322,IF(Settings!$D$15=$O$186,O322,E322))))))</f>
        <v>Heavy manufacturing</v>
      </c>
      <c r="E322" s="114" t="s">
        <v>72</v>
      </c>
      <c r="F322" s="120"/>
      <c r="G322" s="121"/>
      <c r="H322" s="129"/>
      <c r="I322" s="111" t="s">
        <v>507</v>
      </c>
      <c r="J322" s="123"/>
      <c r="K322" s="112" t="s">
        <v>601</v>
      </c>
      <c r="L322" s="112" t="s">
        <v>695</v>
      </c>
      <c r="M322" s="112" t="s">
        <v>928</v>
      </c>
      <c r="N322" s="112" t="s">
        <v>929</v>
      </c>
      <c r="O322" s="112" t="s">
        <v>930</v>
      </c>
    </row>
    <row r="323" spans="3:15" outlineLevel="1">
      <c r="C323" s="74" t="str">
        <f>IF(Settings!$D$15=$O$183,I323,IF(Settings!$D$15=$O$184,K323,IF(Settings!$D$15=$O$185,L323,IF(Settings!$D$15=$O$188,M323,IF(Settings!$D$15=$O$187,N323,IF(Settings!$D$15=$O$186,O323,E323))))))</f>
        <v>Other industrial facility</v>
      </c>
      <c r="E323" s="114" t="s">
        <v>1537</v>
      </c>
      <c r="F323" s="120"/>
      <c r="G323" s="121"/>
      <c r="H323" s="129"/>
      <c r="I323" s="111" t="s">
        <v>1917</v>
      </c>
      <c r="J323" s="123"/>
      <c r="K323" s="112" t="s">
        <v>1918</v>
      </c>
      <c r="L323" s="112" t="s">
        <v>1919</v>
      </c>
      <c r="M323" s="112" t="s">
        <v>1920</v>
      </c>
      <c r="N323" s="112" t="s">
        <v>1921</v>
      </c>
      <c r="O323" s="112" t="s">
        <v>1922</v>
      </c>
    </row>
    <row r="324" spans="3:15" ht="16" customHeight="1" outlineLevel="1">
      <c r="C324" s="73" t="str">
        <f>IF(Settings!$D$15=$O$183,I324,IF(Settings!$D$15=$O$184,K324,IF(Settings!$D$15=$O$185,L324,IF(Settings!$D$15=$O$188,M324,IF(Settings!$D$15=$O$187,N324,IF(Settings!$D$15=$O$186,O324,E324))))))</f>
        <v>Building Components and Assemblies</v>
      </c>
      <c r="E324" s="107" t="s">
        <v>47</v>
      </c>
      <c r="F324" s="118"/>
      <c r="G324" s="119"/>
      <c r="H324" s="118"/>
      <c r="I324" s="107" t="s">
        <v>138</v>
      </c>
      <c r="J324" s="122"/>
      <c r="K324" s="107" t="s">
        <v>2082</v>
      </c>
      <c r="L324" s="107" t="s">
        <v>211</v>
      </c>
      <c r="M324" s="108" t="s">
        <v>273</v>
      </c>
      <c r="N324" s="108" t="s">
        <v>308</v>
      </c>
      <c r="O324" s="109" t="s">
        <v>372</v>
      </c>
    </row>
    <row r="325" spans="3:15" outlineLevel="1">
      <c r="C325" s="74" t="str">
        <f>IF(Settings!$D$15=$O$183,I325,IF(Settings!$D$15=$O$184,K325,IF(Settings!$D$15=$O$185,L325,IF(Settings!$D$15=$O$188,M325,IF(Settings!$D$15=$O$187,N325,IF(Settings!$D$15=$O$186,O325,E325))))))</f>
        <v>Structural concrete debris</v>
      </c>
      <c r="E325" s="113" t="s">
        <v>51</v>
      </c>
      <c r="F325" s="120"/>
      <c r="G325" s="121"/>
      <c r="H325" s="129"/>
      <c r="I325" s="111" t="s">
        <v>508</v>
      </c>
      <c r="J325" s="123"/>
      <c r="K325" s="112" t="s">
        <v>602</v>
      </c>
      <c r="L325" s="112" t="s">
        <v>696</v>
      </c>
      <c r="M325" s="112" t="s">
        <v>931</v>
      </c>
      <c r="N325" s="112" t="s">
        <v>932</v>
      </c>
      <c r="O325" s="112" t="s">
        <v>933</v>
      </c>
    </row>
    <row r="326" spans="3:15" outlineLevel="1">
      <c r="C326" s="74" t="str">
        <f>IF(Settings!$D$15=$O$183,I326,IF(Settings!$D$15=$O$184,K326,IF(Settings!$D$15=$O$185,L326,IF(Settings!$D$15=$O$188,M326,IF(Settings!$D$15=$O$187,N326,IF(Settings!$D$15=$O$186,O326,E326))))))</f>
        <v>Mixed structural debris</v>
      </c>
      <c r="E326" s="110" t="s">
        <v>52</v>
      </c>
      <c r="F326" s="120"/>
      <c r="G326" s="121"/>
      <c r="H326" s="129"/>
      <c r="I326" s="111" t="s">
        <v>509</v>
      </c>
      <c r="J326" s="123"/>
      <c r="K326" s="112" t="s">
        <v>603</v>
      </c>
      <c r="L326" s="112" t="s">
        <v>697</v>
      </c>
      <c r="M326" s="112" t="s">
        <v>934</v>
      </c>
      <c r="N326" s="112" t="s">
        <v>935</v>
      </c>
      <c r="O326" s="112" t="s">
        <v>936</v>
      </c>
    </row>
    <row r="327" spans="3:15" outlineLevel="1">
      <c r="C327" s="74" t="str">
        <f>IF(Settings!$D$15=$O$183,I327,IF(Settings!$D$15=$O$184,K327,IF(Settings!$D$15=$O$185,L327,IF(Settings!$D$15=$O$188,M327,IF(Settings!$D$15=$O$187,N327,IF(Settings!$D$15=$O$186,O327,E327))))))</f>
        <v>Exterior building envelope</v>
      </c>
      <c r="E327" s="110" t="s">
        <v>48</v>
      </c>
      <c r="F327" s="120"/>
      <c r="G327" s="121"/>
      <c r="H327" s="129"/>
      <c r="I327" s="111" t="s">
        <v>510</v>
      </c>
      <c r="J327" s="123"/>
      <c r="K327" s="112" t="s">
        <v>604</v>
      </c>
      <c r="L327" s="112" t="s">
        <v>698</v>
      </c>
      <c r="M327" s="112" t="s">
        <v>937</v>
      </c>
      <c r="N327" s="112" t="s">
        <v>938</v>
      </c>
      <c r="O327" s="112" t="s">
        <v>939</v>
      </c>
    </row>
    <row r="328" spans="3:15" outlineLevel="1">
      <c r="C328" s="74" t="str">
        <f>IF(Settings!$D$15=$O$183,I328,IF(Settings!$D$15=$O$184,K328,IF(Settings!$D$15=$O$185,L328,IF(Settings!$D$15=$O$188,M328,IF(Settings!$D$15=$O$187,N328,IF(Settings!$D$15=$O$186,O328,E328))))))</f>
        <v>Roof systems</v>
      </c>
      <c r="E328" s="110" t="s">
        <v>50</v>
      </c>
      <c r="F328" s="120"/>
      <c r="G328" s="121"/>
      <c r="H328" s="129"/>
      <c r="I328" s="111" t="s">
        <v>511</v>
      </c>
      <c r="J328" s="123"/>
      <c r="K328" s="112" t="s">
        <v>605</v>
      </c>
      <c r="L328" s="112" t="s">
        <v>699</v>
      </c>
      <c r="M328" s="112" t="s">
        <v>940</v>
      </c>
      <c r="N328" s="112" t="s">
        <v>941</v>
      </c>
      <c r="O328" s="112" t="s">
        <v>942</v>
      </c>
    </row>
    <row r="329" spans="3:15" s="4" customFormat="1" outlineLevel="1">
      <c r="C329" s="74" t="str">
        <f>IF(Settings!$D$15=$O$183,I329,IF(Settings!$D$15=$O$184,K329,IF(Settings!$D$15=$O$185,L329,IF(Settings!$D$15=$O$188,M329,IF(Settings!$D$15=$O$187,N329,IF(Settings!$D$15=$O$186,O329,E329))))))</f>
        <v>Foundations / basements</v>
      </c>
      <c r="D329" s="100"/>
      <c r="E329" s="110" t="s">
        <v>1068</v>
      </c>
      <c r="F329" s="120"/>
      <c r="G329" s="121"/>
      <c r="H329" s="130"/>
      <c r="I329" s="112" t="s">
        <v>1080</v>
      </c>
      <c r="J329" s="123"/>
      <c r="K329" s="112" t="s">
        <v>1078</v>
      </c>
      <c r="L329" s="112" t="s">
        <v>1076</v>
      </c>
      <c r="M329" s="111" t="s">
        <v>1074</v>
      </c>
      <c r="N329" s="112" t="s">
        <v>1072</v>
      </c>
      <c r="O329" s="112" t="s">
        <v>1070</v>
      </c>
    </row>
    <row r="330" spans="3:15" s="4" customFormat="1" outlineLevel="1">
      <c r="C330" s="74" t="str">
        <f>IF(Settings!$D$15=$O$183,I330,IF(Settings!$D$15=$O$184,K330,IF(Settings!$D$15=$O$185,L330,IF(Settings!$D$15=$O$188,M330,IF(Settings!$D$15=$O$187,N330,IF(Settings!$D$15=$O$186,O330,E330))))))</f>
        <v>Horizontal structure / floors</v>
      </c>
      <c r="D330" s="100"/>
      <c r="E330" s="110" t="s">
        <v>1069</v>
      </c>
      <c r="F330" s="120"/>
      <c r="G330" s="121"/>
      <c r="H330" s="130"/>
      <c r="I330" s="112" t="s">
        <v>1081</v>
      </c>
      <c r="J330" s="123"/>
      <c r="K330" s="112" t="s">
        <v>1079</v>
      </c>
      <c r="L330" s="112" t="s">
        <v>1077</v>
      </c>
      <c r="M330" s="111" t="s">
        <v>1075</v>
      </c>
      <c r="N330" s="112" t="s">
        <v>1073</v>
      </c>
      <c r="O330" s="112" t="s">
        <v>1071</v>
      </c>
    </row>
    <row r="331" spans="3:15" outlineLevel="1">
      <c r="C331" s="74" t="str">
        <f>IF(Settings!$D$15=$O$183,I331,IF(Settings!$D$15=$O$184,K331,IF(Settings!$D$15=$O$185,L331,IF(Settings!$D$15=$O$188,M331,IF(Settings!$D$15=$O$187,N331,IF(Settings!$D$15=$O$186,O331,E331))))))</f>
        <v>Exterior glazing systems</v>
      </c>
      <c r="E331" s="110" t="s">
        <v>49</v>
      </c>
      <c r="F331" s="120"/>
      <c r="G331" s="121"/>
      <c r="H331" s="129"/>
      <c r="I331" s="111" t="s">
        <v>512</v>
      </c>
      <c r="J331" s="123"/>
      <c r="K331" s="112" t="s">
        <v>606</v>
      </c>
      <c r="L331" s="112" t="s">
        <v>700</v>
      </c>
      <c r="M331" s="112" t="s">
        <v>943</v>
      </c>
      <c r="N331" s="112" t="s">
        <v>944</v>
      </c>
      <c r="O331" s="112" t="s">
        <v>945</v>
      </c>
    </row>
    <row r="332" spans="3:15" outlineLevel="1">
      <c r="C332" s="74" t="str">
        <f>IF(Settings!$D$15=$O$183,I332,IF(Settings!$D$15=$O$184,K332,IF(Settings!$D$15=$O$185,L332,IF(Settings!$D$15=$O$188,M332,IF(Settings!$D$15=$O$187,N332,IF(Settings!$D$15=$O$186,O332,E332))))))</f>
        <v>Balconies</v>
      </c>
      <c r="E332" s="110" t="s">
        <v>113</v>
      </c>
      <c r="F332" s="120"/>
      <c r="G332" s="121"/>
      <c r="H332" s="129"/>
      <c r="I332" s="111" t="s">
        <v>513</v>
      </c>
      <c r="J332" s="123"/>
      <c r="K332" s="112" t="s">
        <v>607</v>
      </c>
      <c r="L332" s="112" t="s">
        <v>701</v>
      </c>
      <c r="M332" s="112" t="s">
        <v>946</v>
      </c>
      <c r="N332" s="112" t="s">
        <v>947</v>
      </c>
      <c r="O332" s="112" t="s">
        <v>948</v>
      </c>
    </row>
    <row r="333" spans="3:15" outlineLevel="1">
      <c r="C333" s="74" t="str">
        <f>IF(Settings!$D$15=$O$183,I333,IF(Settings!$D$15=$O$184,K333,IF(Settings!$D$15=$O$185,L333,IF(Settings!$D$15=$O$188,M333,IF(Settings!$D$15=$O$187,N333,IF(Settings!$D$15=$O$186,O333,E333))))))</f>
        <v>Interior walls</v>
      </c>
      <c r="E333" s="110" t="s">
        <v>425</v>
      </c>
      <c r="F333" s="120"/>
      <c r="G333" s="121"/>
      <c r="H333" s="129"/>
      <c r="I333" s="111" t="s">
        <v>514</v>
      </c>
      <c r="J333" s="123"/>
      <c r="K333" s="112" t="s">
        <v>608</v>
      </c>
      <c r="L333" s="112" t="s">
        <v>702</v>
      </c>
      <c r="M333" s="112" t="s">
        <v>949</v>
      </c>
      <c r="N333" s="112" t="s">
        <v>950</v>
      </c>
      <c r="O333" s="112" t="s">
        <v>951</v>
      </c>
    </row>
    <row r="334" spans="3:15" outlineLevel="1">
      <c r="C334" s="74" t="str">
        <f>IF(Settings!$D$15=$O$183,I334,IF(Settings!$D$15=$O$184,K334,IF(Settings!$D$15=$O$185,L334,IF(Settings!$D$15=$O$188,M334,IF(Settings!$D$15=$O$187,N334,IF(Settings!$D$15=$O$186,O334,E334))))))</f>
        <v>Interior finishes</v>
      </c>
      <c r="E334" s="110" t="s">
        <v>114</v>
      </c>
      <c r="F334" s="120"/>
      <c r="G334" s="121"/>
      <c r="H334" s="129"/>
      <c r="I334" s="111" t="s">
        <v>515</v>
      </c>
      <c r="J334" s="123"/>
      <c r="K334" s="112" t="s">
        <v>609</v>
      </c>
      <c r="L334" s="112" t="s">
        <v>703</v>
      </c>
      <c r="M334" s="112" t="s">
        <v>952</v>
      </c>
      <c r="N334" s="112" t="s">
        <v>953</v>
      </c>
      <c r="O334" s="112" t="s">
        <v>954</v>
      </c>
    </row>
    <row r="335" spans="3:15" outlineLevel="1">
      <c r="C335" s="74" t="str">
        <f>IF(Settings!$D$15=$O$183,I335,IF(Settings!$D$15=$O$184,K335,IF(Settings!$D$15=$O$185,L335,IF(Settings!$D$15=$O$188,M335,IF(Settings!$D$15=$O$187,N335,IF(Settings!$D$15=$O$186,O335,E335))))))</f>
        <v>Public washrooms</v>
      </c>
      <c r="E335" s="110" t="s">
        <v>1103</v>
      </c>
      <c r="F335" s="120"/>
      <c r="G335" s="121"/>
      <c r="H335" s="129"/>
      <c r="I335" s="111" t="s">
        <v>1115</v>
      </c>
      <c r="J335" s="123"/>
      <c r="K335" s="111" t="s">
        <v>1113</v>
      </c>
      <c r="L335" s="112" t="s">
        <v>1111</v>
      </c>
      <c r="M335" s="111" t="s">
        <v>1109</v>
      </c>
      <c r="N335" s="112" t="s">
        <v>1106</v>
      </c>
      <c r="O335" s="117" t="s">
        <v>1108</v>
      </c>
    </row>
    <row r="336" spans="3:15" outlineLevel="1">
      <c r="C336" s="74" t="str">
        <f>IF(Settings!$D$15=$O$183,I336,IF(Settings!$D$15=$O$184,K336,IF(Settings!$D$15=$O$185,L336,IF(Settings!$D$15=$O$188,M336,IF(Settings!$D$15=$O$187,N336,IF(Settings!$D$15=$O$186,O336,E336))))))</f>
        <v>Commercial kitchens</v>
      </c>
      <c r="E336" s="110" t="s">
        <v>1104</v>
      </c>
      <c r="F336" s="120"/>
      <c r="G336" s="121"/>
      <c r="H336" s="129"/>
      <c r="I336" s="111" t="s">
        <v>1116</v>
      </c>
      <c r="J336" s="123"/>
      <c r="K336" s="111" t="s">
        <v>1114</v>
      </c>
      <c r="L336" s="112" t="s">
        <v>1112</v>
      </c>
      <c r="M336" s="111" t="s">
        <v>1110</v>
      </c>
      <c r="N336" s="112" t="s">
        <v>1107</v>
      </c>
      <c r="O336" s="117" t="s">
        <v>1105</v>
      </c>
    </row>
    <row r="337" spans="3:15" outlineLevel="1">
      <c r="C337" s="74" t="str">
        <f>IF(Settings!$D$15=$O$183,I337,IF(Settings!$D$15=$O$184,K337,IF(Settings!$D$15=$O$185,L337,IF(Settings!$D$15=$O$188,M337,IF(Settings!$D$15=$O$187,N337,IF(Settings!$D$15=$O$186,O337,E337))))))</f>
        <v>Stairs</v>
      </c>
      <c r="E337" s="110" t="s">
        <v>426</v>
      </c>
      <c r="F337" s="120"/>
      <c r="G337" s="121"/>
      <c r="H337" s="129"/>
      <c r="I337" s="111" t="s">
        <v>516</v>
      </c>
      <c r="J337" s="123"/>
      <c r="K337" s="112" t="s">
        <v>610</v>
      </c>
      <c r="L337" s="112" t="s">
        <v>704</v>
      </c>
      <c r="M337" s="112" t="s">
        <v>955</v>
      </c>
      <c r="N337" s="112" t="s">
        <v>956</v>
      </c>
      <c r="O337" s="112" t="s">
        <v>957</v>
      </c>
    </row>
    <row r="338" spans="3:15" outlineLevel="1">
      <c r="C338" s="74" t="str">
        <f>IF(Settings!$D$15=$O$183,I338,IF(Settings!$D$15=$O$184,K338,IF(Settings!$D$15=$O$185,L338,IF(Settings!$D$15=$O$188,M338,IF(Settings!$D$15=$O$187,N338,IF(Settings!$D$15=$O$186,O338,E338))))))</f>
        <v>Building landscaping</v>
      </c>
      <c r="E338" s="110" t="s">
        <v>433</v>
      </c>
      <c r="F338" s="120"/>
      <c r="G338" s="121"/>
      <c r="H338" s="129"/>
      <c r="I338" s="111" t="s">
        <v>517</v>
      </c>
      <c r="J338" s="123"/>
      <c r="K338" s="112" t="s">
        <v>611</v>
      </c>
      <c r="L338" s="112" t="s">
        <v>705</v>
      </c>
      <c r="M338" s="112" t="s">
        <v>958</v>
      </c>
      <c r="N338" s="112" t="s">
        <v>959</v>
      </c>
      <c r="O338" s="112" t="s">
        <v>960</v>
      </c>
    </row>
    <row r="339" spans="3:15" ht="16" customHeight="1" outlineLevel="1">
      <c r="C339" s="73" t="str">
        <f>IF(Settings!$D$15=$O$183,I339,IF(Settings!$D$15=$O$184,K339,IF(Settings!$D$15=$O$185,L339,IF(Settings!$D$15=$O$188,M339,IF(Settings!$D$15=$O$187,N339,IF(Settings!$D$15=$O$186,O339,E339))))))</f>
        <v xml:space="preserve">Technical Systems for buildings </v>
      </c>
      <c r="E339" s="107" t="s">
        <v>54</v>
      </c>
      <c r="F339" s="118"/>
      <c r="G339" s="119"/>
      <c r="H339" s="118"/>
      <c r="I339" s="107" t="s">
        <v>139</v>
      </c>
      <c r="J339" s="122"/>
      <c r="K339" s="107" t="s">
        <v>192</v>
      </c>
      <c r="L339" s="107" t="s">
        <v>212</v>
      </c>
      <c r="M339" s="108" t="s">
        <v>274</v>
      </c>
      <c r="N339" s="108" t="s">
        <v>309</v>
      </c>
      <c r="O339" s="109" t="s">
        <v>373</v>
      </c>
    </row>
    <row r="340" spans="3:15" outlineLevel="1">
      <c r="C340" s="74" t="str">
        <f>IF(Settings!$D$15=$O$183,I340,IF(Settings!$D$15=$O$184,K340,IF(Settings!$D$15=$O$185,L340,IF(Settings!$D$15=$O$188,M340,IF(Settings!$D$15=$O$187,N340,IF(Settings!$D$15=$O$186,O340,E340))))))</f>
        <v>Central boiler</v>
      </c>
      <c r="E340" s="110" t="s">
        <v>55</v>
      </c>
      <c r="F340" s="120"/>
      <c r="G340" s="121"/>
      <c r="H340" s="129"/>
      <c r="I340" s="111" t="s">
        <v>518</v>
      </c>
      <c r="J340" s="123"/>
      <c r="K340" s="112" t="s">
        <v>612</v>
      </c>
      <c r="L340" s="112" t="s">
        <v>706</v>
      </c>
      <c r="M340" s="112" t="s">
        <v>961</v>
      </c>
      <c r="N340" s="112" t="s">
        <v>962</v>
      </c>
      <c r="O340" s="112" t="s">
        <v>963</v>
      </c>
    </row>
    <row r="341" spans="3:15" outlineLevel="1">
      <c r="C341" s="74" t="str">
        <f>IF(Settings!$D$15=$O$183,I341,IF(Settings!$D$15=$O$184,K341,IF(Settings!$D$15=$O$185,L341,IF(Settings!$D$15=$O$188,M341,IF(Settings!$D$15=$O$187,N341,IF(Settings!$D$15=$O$186,O341,E341))))))</f>
        <v>Mechanical HVAC and ducting</v>
      </c>
      <c r="E341" s="110" t="s">
        <v>430</v>
      </c>
      <c r="F341" s="120"/>
      <c r="G341" s="121"/>
      <c r="H341" s="129"/>
      <c r="I341" s="111" t="s">
        <v>519</v>
      </c>
      <c r="J341" s="123"/>
      <c r="K341" s="112" t="s">
        <v>613</v>
      </c>
      <c r="L341" s="112" t="s">
        <v>707</v>
      </c>
      <c r="M341" s="112" t="s">
        <v>964</v>
      </c>
      <c r="N341" s="112" t="s">
        <v>965</v>
      </c>
      <c r="O341" s="112" t="s">
        <v>966</v>
      </c>
    </row>
    <row r="342" spans="3:15" outlineLevel="1">
      <c r="C342" s="74" t="str">
        <f>IF(Settings!$D$15=$O$183,I342,IF(Settings!$D$15=$O$184,K342,IF(Settings!$D$15=$O$185,L342,IF(Settings!$D$15=$O$188,M342,IF(Settings!$D$15=$O$187,N342,IF(Settings!$D$15=$O$186,O342,E342))))))</f>
        <v>Heat Pumps</v>
      </c>
      <c r="E342" s="110" t="s">
        <v>116</v>
      </c>
      <c r="F342" s="120"/>
      <c r="G342" s="121"/>
      <c r="H342" s="129"/>
      <c r="I342" s="111" t="s">
        <v>520</v>
      </c>
      <c r="J342" s="123"/>
      <c r="K342" s="112" t="s">
        <v>614</v>
      </c>
      <c r="L342" s="112" t="s">
        <v>708</v>
      </c>
      <c r="M342" s="112" t="s">
        <v>967</v>
      </c>
      <c r="N342" s="112" t="s">
        <v>968</v>
      </c>
      <c r="O342" s="112" t="s">
        <v>969</v>
      </c>
    </row>
    <row r="343" spans="3:15" outlineLevel="1">
      <c r="C343" s="74" t="str">
        <f>IF(Settings!$D$15=$O$183,I343,IF(Settings!$D$15=$O$184,K343,IF(Settings!$D$15=$O$185,L343,IF(Settings!$D$15=$O$188,M343,IF(Settings!$D$15=$O$187,N343,IF(Settings!$D$15=$O$186,O343,E343))))))</f>
        <v>Energy storage systems</v>
      </c>
      <c r="E343" s="110" t="s">
        <v>431</v>
      </c>
      <c r="F343" s="120"/>
      <c r="G343" s="121"/>
      <c r="H343" s="129"/>
      <c r="I343" s="111" t="s">
        <v>521</v>
      </c>
      <c r="J343" s="123"/>
      <c r="K343" s="112" t="s">
        <v>615</v>
      </c>
      <c r="L343" s="112" t="s">
        <v>709</v>
      </c>
      <c r="M343" s="112" t="s">
        <v>970</v>
      </c>
      <c r="N343" s="112" t="s">
        <v>971</v>
      </c>
      <c r="O343" s="112" t="s">
        <v>972</v>
      </c>
    </row>
    <row r="344" spans="3:15" outlineLevel="1">
      <c r="C344" s="74" t="str">
        <f>IF(Settings!$D$15=$O$183,I344,IF(Settings!$D$15=$O$184,K344,IF(Settings!$D$15=$O$185,L344,IF(Settings!$D$15=$O$188,M344,IF(Settings!$D$15=$O$187,N344,IF(Settings!$D$15=$O$186,O344,E344))))))</f>
        <v>Plumbing</v>
      </c>
      <c r="E344" s="110" t="s">
        <v>56</v>
      </c>
      <c r="F344" s="120"/>
      <c r="G344" s="121"/>
      <c r="H344" s="129"/>
      <c r="I344" s="111" t="s">
        <v>522</v>
      </c>
      <c r="J344" s="123"/>
      <c r="K344" s="112" t="s">
        <v>616</v>
      </c>
      <c r="L344" s="112" t="s">
        <v>710</v>
      </c>
      <c r="M344" s="112" t="s">
        <v>973</v>
      </c>
      <c r="N344" s="112" t="s">
        <v>974</v>
      </c>
      <c r="O344" s="112" t="s">
        <v>975</v>
      </c>
    </row>
    <row r="345" spans="3:15" outlineLevel="1">
      <c r="C345" s="74" t="str">
        <f>IF(Settings!$D$15=$O$183,I345,IF(Settings!$D$15=$O$184,K345,IF(Settings!$D$15=$O$185,L345,IF(Settings!$D$15=$O$188,M345,IF(Settings!$D$15=$O$187,N345,IF(Settings!$D$15=$O$186,O345,E345))))))</f>
        <v>Electrical</v>
      </c>
      <c r="E345" s="110" t="s">
        <v>57</v>
      </c>
      <c r="F345" s="120"/>
      <c r="G345" s="121"/>
      <c r="H345" s="129"/>
      <c r="I345" s="111" t="s">
        <v>523</v>
      </c>
      <c r="J345" s="123"/>
      <c r="K345" s="112" t="s">
        <v>617</v>
      </c>
      <c r="L345" s="112" t="s">
        <v>711</v>
      </c>
      <c r="M345" s="112" t="s">
        <v>976</v>
      </c>
      <c r="N345" s="112" t="s">
        <v>977</v>
      </c>
      <c r="O345" s="112" t="s">
        <v>978</v>
      </c>
    </row>
    <row r="346" spans="3:15" outlineLevel="1">
      <c r="C346" s="74" t="str">
        <f>IF(Settings!$D$15=$O$183,I346,IF(Settings!$D$15=$O$184,K346,IF(Settings!$D$15=$O$185,L346,IF(Settings!$D$15=$O$188,M346,IF(Settings!$D$15=$O$187,N346,IF(Settings!$D$15=$O$186,O346,E346))))))</f>
        <v>Lighting systems</v>
      </c>
      <c r="E346" s="110" t="s">
        <v>428</v>
      </c>
      <c r="F346" s="120"/>
      <c r="G346" s="121"/>
      <c r="H346" s="129"/>
      <c r="I346" s="111" t="s">
        <v>524</v>
      </c>
      <c r="J346" s="123"/>
      <c r="K346" s="112" t="s">
        <v>618</v>
      </c>
      <c r="L346" s="112" t="s">
        <v>712</v>
      </c>
      <c r="M346" s="112" t="s">
        <v>979</v>
      </c>
      <c r="N346" s="112" t="s">
        <v>980</v>
      </c>
      <c r="O346" s="112" t="s">
        <v>981</v>
      </c>
    </row>
    <row r="347" spans="3:15" outlineLevel="1">
      <c r="C347" s="74" t="str">
        <f>IF(Settings!$D$15=$O$183,I347,IF(Settings!$D$15=$O$184,K347,IF(Settings!$D$15=$O$185,L347,IF(Settings!$D$15=$O$188,M347,IF(Settings!$D$15=$O$187,N347,IF(Settings!$D$15=$O$186,O347,E347))))))</f>
        <v>HVAC Control systems</v>
      </c>
      <c r="E347" s="110" t="s">
        <v>429</v>
      </c>
      <c r="F347" s="120"/>
      <c r="G347" s="121"/>
      <c r="H347" s="129"/>
      <c r="I347" s="111" t="s">
        <v>525</v>
      </c>
      <c r="J347" s="123"/>
      <c r="K347" s="112" t="s">
        <v>619</v>
      </c>
      <c r="L347" s="112" t="s">
        <v>713</v>
      </c>
      <c r="M347" s="112" t="s">
        <v>982</v>
      </c>
      <c r="N347" s="112" t="s">
        <v>983</v>
      </c>
      <c r="O347" s="112" t="s">
        <v>984</v>
      </c>
    </row>
    <row r="348" spans="3:15" outlineLevel="1">
      <c r="C348" s="74" t="str">
        <f>IF(Settings!$D$15=$O$183,I348,IF(Settings!$D$15=$O$184,K348,IF(Settings!$D$15=$O$185,L348,IF(Settings!$D$15=$O$188,M348,IF(Settings!$D$15=$O$187,N348,IF(Settings!$D$15=$O$186,O348,E348))))))</f>
        <v>Fire control systems</v>
      </c>
      <c r="E348" s="110" t="s">
        <v>427</v>
      </c>
      <c r="F348" s="120"/>
      <c r="G348" s="121"/>
      <c r="H348" s="129"/>
      <c r="I348" s="111" t="s">
        <v>526</v>
      </c>
      <c r="J348" s="123"/>
      <c r="K348" s="112" t="s">
        <v>620</v>
      </c>
      <c r="L348" s="112" t="s">
        <v>714</v>
      </c>
      <c r="M348" s="112" t="s">
        <v>985</v>
      </c>
      <c r="N348" s="112" t="s">
        <v>986</v>
      </c>
      <c r="O348" s="112" t="s">
        <v>987</v>
      </c>
    </row>
    <row r="349" spans="3:15" outlineLevel="1">
      <c r="C349" s="74" t="str">
        <f>IF(Settings!$D$15=$O$183,I349,IF(Settings!$D$15=$O$184,K349,IF(Settings!$D$15=$O$185,L349,IF(Settings!$D$15=$O$188,M349,IF(Settings!$D$15=$O$187,N349,IF(Settings!$D$15=$O$186,O349,E349))))))</f>
        <v>Communication systems</v>
      </c>
      <c r="E349" s="110" t="s">
        <v>58</v>
      </c>
      <c r="F349" s="120"/>
      <c r="G349" s="121"/>
      <c r="H349" s="129"/>
      <c r="I349" s="111" t="s">
        <v>527</v>
      </c>
      <c r="J349" s="123"/>
      <c r="K349" s="112" t="s">
        <v>621</v>
      </c>
      <c r="L349" s="112" t="s">
        <v>715</v>
      </c>
      <c r="M349" s="112" t="s">
        <v>988</v>
      </c>
      <c r="N349" s="112" t="s">
        <v>989</v>
      </c>
      <c r="O349" s="112" t="s">
        <v>990</v>
      </c>
    </row>
    <row r="350" spans="3:15" outlineLevel="1">
      <c r="C350" s="74" t="str">
        <f>IF(Settings!$D$15=$O$183,I350,IF(Settings!$D$15=$O$184,K350,IF(Settings!$D$15=$O$185,L350,IF(Settings!$D$15=$O$188,M350,IF(Settings!$D$15=$O$187,N350,IF(Settings!$D$15=$O$186,O350,E350))))))</f>
        <v>Elevators</v>
      </c>
      <c r="E350" s="110" t="s">
        <v>59</v>
      </c>
      <c r="F350" s="120"/>
      <c r="G350" s="121"/>
      <c r="H350" s="129"/>
      <c r="I350" s="111" t="s">
        <v>528</v>
      </c>
      <c r="J350" s="123"/>
      <c r="K350" s="112" t="s">
        <v>622</v>
      </c>
      <c r="L350" s="112" t="s">
        <v>716</v>
      </c>
      <c r="M350" s="112" t="s">
        <v>991</v>
      </c>
      <c r="N350" s="112" t="s">
        <v>992</v>
      </c>
      <c r="O350" s="112" t="s">
        <v>993</v>
      </c>
    </row>
    <row r="351" spans="3:15" outlineLevel="1">
      <c r="C351" s="74" t="str">
        <f>IF(Settings!$D$15=$O$183,I351,IF(Settings!$D$15=$O$184,K351,IF(Settings!$D$15=$O$185,L351,IF(Settings!$D$15=$O$188,M351,IF(Settings!$D$15=$O$187,N351,IF(Settings!$D$15=$O$186,O351,E351))))))</f>
        <v>Escalators</v>
      </c>
      <c r="E351" s="110" t="s">
        <v>60</v>
      </c>
      <c r="F351" s="120"/>
      <c r="G351" s="121"/>
      <c r="H351" s="129"/>
      <c r="I351" s="111" t="s">
        <v>529</v>
      </c>
      <c r="J351" s="123"/>
      <c r="K351" s="112" t="s">
        <v>623</v>
      </c>
      <c r="L351" s="112" t="s">
        <v>717</v>
      </c>
      <c r="M351" s="112" t="s">
        <v>994</v>
      </c>
      <c r="N351" s="112" t="s">
        <v>995</v>
      </c>
      <c r="O351" s="112" t="s">
        <v>996</v>
      </c>
    </row>
    <row r="352" spans="3:15" outlineLevel="1">
      <c r="C352" s="74" t="str">
        <f>IF(Settings!$D$15=$O$183,I352,IF(Settings!$D$15=$O$184,K352,IF(Settings!$D$15=$O$185,L352,IF(Settings!$D$15=$O$188,M352,IF(Settings!$D$15=$O$187,N352,IF(Settings!$D$15=$O$186,O352,E352))))))</f>
        <v>Fixed equipment and appliances</v>
      </c>
      <c r="E352" s="110" t="s">
        <v>115</v>
      </c>
      <c r="F352" s="120"/>
      <c r="G352" s="121"/>
      <c r="H352" s="129"/>
      <c r="I352" s="111" t="s">
        <v>530</v>
      </c>
      <c r="J352" s="123"/>
      <c r="K352" s="112" t="s">
        <v>624</v>
      </c>
      <c r="L352" s="112" t="s">
        <v>718</v>
      </c>
      <c r="M352" s="112" t="s">
        <v>997</v>
      </c>
      <c r="N352" s="112" t="s">
        <v>998</v>
      </c>
      <c r="O352" s="112" t="s">
        <v>999</v>
      </c>
    </row>
    <row r="353" spans="17:17" outlineLevel="1"/>
    <row r="355" spans="17:17" ht="22" customHeight="1">
      <c r="Q355" s="315" t="s">
        <v>2034</v>
      </c>
    </row>
    <row r="356" spans="17:17" ht="22" customHeight="1">
      <c r="Q356" s="316" t="s">
        <v>1983</v>
      </c>
    </row>
    <row r="357" spans="17:17" ht="22" customHeight="1">
      <c r="Q357" s="316" t="s">
        <v>2038</v>
      </c>
    </row>
    <row r="358" spans="17:17" ht="22" customHeight="1">
      <c r="Q358" s="316" t="s">
        <v>1540</v>
      </c>
    </row>
    <row r="359" spans="17:17" ht="22" customHeight="1">
      <c r="Q359" s="316" t="s">
        <v>1543</v>
      </c>
    </row>
    <row r="360" spans="17:17" ht="22" customHeight="1">
      <c r="Q360" s="317" t="s">
        <v>1623</v>
      </c>
    </row>
    <row r="361" spans="17:17" ht="22" customHeight="1">
      <c r="Q361" s="317" t="s">
        <v>2035</v>
      </c>
    </row>
    <row r="362" spans="17:17" ht="22" customHeight="1">
      <c r="Q362" s="317" t="s">
        <v>2036</v>
      </c>
    </row>
    <row r="363" spans="17:17" ht="22" customHeight="1">
      <c r="Q363" s="317" t="s">
        <v>1946</v>
      </c>
    </row>
    <row r="364" spans="17:17" ht="22" customHeight="1">
      <c r="Q364" s="317" t="s">
        <v>1947</v>
      </c>
    </row>
    <row r="365" spans="17:17" ht="22" customHeight="1">
      <c r="Q365" s="317" t="s">
        <v>431</v>
      </c>
    </row>
    <row r="366" spans="17:17" ht="22" customHeight="1">
      <c r="Q366" s="317" t="s">
        <v>1624</v>
      </c>
    </row>
    <row r="367" spans="17:17" ht="22" customHeight="1">
      <c r="Q367" s="317" t="s">
        <v>2037</v>
      </c>
    </row>
    <row r="368" spans="17:17" ht="22" customHeight="1">
      <c r="Q368" s="317" t="s">
        <v>1622</v>
      </c>
    </row>
    <row r="369" spans="17:17" ht="22" customHeight="1">
      <c r="Q369" s="317" t="s">
        <v>428</v>
      </c>
    </row>
    <row r="370" spans="17:17" ht="22" customHeight="1">
      <c r="Q370" s="317" t="s">
        <v>1541</v>
      </c>
    </row>
    <row r="371" spans="17:17" ht="22" customHeight="1">
      <c r="Q371" s="318" t="s">
        <v>114</v>
      </c>
    </row>
  </sheetData>
  <mergeCells count="119">
    <mergeCell ref="M194:N194"/>
    <mergeCell ref="P3:U3"/>
    <mergeCell ref="M24:N25"/>
    <mergeCell ref="M48:N49"/>
    <mergeCell ref="M72:N73"/>
    <mergeCell ref="M96:N97"/>
    <mergeCell ref="M120:N121"/>
    <mergeCell ref="M144:N145"/>
    <mergeCell ref="M168:N169"/>
    <mergeCell ref="L171:M171"/>
    <mergeCell ref="L75:M75"/>
    <mergeCell ref="L99:M99"/>
    <mergeCell ref="L123:M123"/>
    <mergeCell ref="L147:M147"/>
    <mergeCell ref="I175:K175"/>
    <mergeCell ref="I173:K173"/>
    <mergeCell ref="I174:K174"/>
    <mergeCell ref="C53:G58"/>
    <mergeCell ref="C29:G34"/>
    <mergeCell ref="F17:G17"/>
    <mergeCell ref="F16:G16"/>
    <mergeCell ref="F43:G43"/>
    <mergeCell ref="F45:G45"/>
    <mergeCell ref="C51:G52"/>
    <mergeCell ref="F49:G49"/>
    <mergeCell ref="F48:G48"/>
    <mergeCell ref="F47:G47"/>
    <mergeCell ref="F46:G46"/>
    <mergeCell ref="E44:E49"/>
    <mergeCell ref="C27:G28"/>
    <mergeCell ref="E140:E145"/>
    <mergeCell ref="C123:G124"/>
    <mergeCell ref="C75:G76"/>
    <mergeCell ref="F67:G67"/>
    <mergeCell ref="I29:K29"/>
    <mergeCell ref="I30:K30"/>
    <mergeCell ref="I126:K126"/>
    <mergeCell ref="I125:K125"/>
    <mergeCell ref="I150:K150"/>
    <mergeCell ref="I124:K124"/>
    <mergeCell ref="I52:K52"/>
    <mergeCell ref="I101:K101"/>
    <mergeCell ref="I102:K102"/>
    <mergeCell ref="I77:K77"/>
    <mergeCell ref="I78:K78"/>
    <mergeCell ref="I100:K100"/>
    <mergeCell ref="I76:K76"/>
    <mergeCell ref="F165:G165"/>
    <mergeCell ref="F90:G90"/>
    <mergeCell ref="F93:G93"/>
    <mergeCell ref="L3:M3"/>
    <mergeCell ref="C3:G4"/>
    <mergeCell ref="I6:K6"/>
    <mergeCell ref="F19:G19"/>
    <mergeCell ref="F20:G20"/>
    <mergeCell ref="I4:K4"/>
    <mergeCell ref="E20:E25"/>
    <mergeCell ref="I5:K5"/>
    <mergeCell ref="F21:G21"/>
    <mergeCell ref="F23:G23"/>
    <mergeCell ref="F25:G25"/>
    <mergeCell ref="F24:G24"/>
    <mergeCell ref="F22:G22"/>
    <mergeCell ref="F18:G18"/>
    <mergeCell ref="I53:K53"/>
    <mergeCell ref="I54:K54"/>
    <mergeCell ref="I148:K148"/>
    <mergeCell ref="L27:M27"/>
    <mergeCell ref="L51:M51"/>
    <mergeCell ref="I28:K28"/>
    <mergeCell ref="I149:K149"/>
    <mergeCell ref="F168:G168"/>
    <mergeCell ref="F167:G167"/>
    <mergeCell ref="F166:G166"/>
    <mergeCell ref="C147:G148"/>
    <mergeCell ref="E68:E73"/>
    <mergeCell ref="C125:G130"/>
    <mergeCell ref="C101:G106"/>
    <mergeCell ref="C77:G82"/>
    <mergeCell ref="F112:G112"/>
    <mergeCell ref="F115:G115"/>
    <mergeCell ref="F117:G117"/>
    <mergeCell ref="C99:G100"/>
    <mergeCell ref="E116:E121"/>
    <mergeCell ref="C149:G154"/>
    <mergeCell ref="F73:G73"/>
    <mergeCell ref="F72:G72"/>
    <mergeCell ref="F71:G71"/>
    <mergeCell ref="F70:G70"/>
    <mergeCell ref="F113:G113"/>
    <mergeCell ref="F114:G114"/>
    <mergeCell ref="F68:G68"/>
    <mergeCell ref="F139:G139"/>
    <mergeCell ref="F141:G141"/>
    <mergeCell ref="F163:G163"/>
    <mergeCell ref="C5:G10"/>
    <mergeCell ref="F44:G44"/>
    <mergeCell ref="F69:G69"/>
    <mergeCell ref="F116:G116"/>
    <mergeCell ref="F140:G140"/>
    <mergeCell ref="F164:G164"/>
    <mergeCell ref="E191:E196"/>
    <mergeCell ref="F97:G97"/>
    <mergeCell ref="F96:G96"/>
    <mergeCell ref="F95:G95"/>
    <mergeCell ref="F94:G94"/>
    <mergeCell ref="F121:G121"/>
    <mergeCell ref="F120:G120"/>
    <mergeCell ref="F119:G119"/>
    <mergeCell ref="F118:G118"/>
    <mergeCell ref="C171:G173"/>
    <mergeCell ref="E92:E97"/>
    <mergeCell ref="F145:G145"/>
    <mergeCell ref="F144:G144"/>
    <mergeCell ref="F143:G143"/>
    <mergeCell ref="F142:G142"/>
    <mergeCell ref="C174:G179"/>
    <mergeCell ref="E164:E169"/>
    <mergeCell ref="F169:G169"/>
  </mergeCells>
  <phoneticPr fontId="33" type="noConversion"/>
  <printOptions horizontalCentered="1" verticalCentered="1"/>
  <pageMargins left="0.39370078740157483" right="0.39370078740157483" top="0.39370078740157483" bottom="0.39370078740157483" header="0.31496062992125984" footer="0.31496062992125984"/>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Graphic</vt:lpstr>
      <vt:lpstr>RDNA</vt:lpstr>
      <vt:lpstr>Settings</vt:lpstr>
      <vt:lpstr>Irpin info</vt:lpstr>
      <vt:lpstr>Urban</vt:lpstr>
      <vt:lpstr>Buildings</vt:lpstr>
      <vt:lpstr>Languages</vt:lpstr>
      <vt:lpstr>Buildings!Print_Area</vt:lpstr>
      <vt:lpstr>'Irpin info'!Print_Area</vt:lpstr>
      <vt:lpstr>RDNA!Print_Area</vt:lpstr>
      <vt:lpstr>Settings!Print_Area</vt:lpstr>
      <vt:lpstr>Urban!Print_Area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 Larsson</dc:creator>
  <cp:lastModifiedBy>Nils Larsson</cp:lastModifiedBy>
  <cp:lastPrinted>2022-11-18T17:30:50Z</cp:lastPrinted>
  <dcterms:created xsi:type="dcterms:W3CDTF">2022-09-01T12:40:06Z</dcterms:created>
  <dcterms:modified xsi:type="dcterms:W3CDTF">2023-01-29T19:06:37Z</dcterms:modified>
</cp:coreProperties>
</file>